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00c8dcf7ab2e39/Ben Desktop/Marketing Content/"/>
    </mc:Choice>
  </mc:AlternateContent>
  <xr:revisionPtr revIDLastSave="0" documentId="8_{B008A893-432B-4798-BE09-808158DBF793}" xr6:coauthVersionLast="47" xr6:coauthVersionMax="47" xr10:uidLastSave="{00000000-0000-0000-0000-000000000000}"/>
  <bookViews>
    <workbookView xWindow="-33315" yWindow="-1890" windowWidth="22140" windowHeight="13965" firstSheet="2" activeTab="2" xr2:uid="{58AB8011-2CBC-48B4-8A09-DD8B54AFD05D}"/>
  </bookViews>
  <sheets>
    <sheet name="Summary" sheetId="4" r:id="rId1"/>
    <sheet name="Flips and LTHs" sheetId="1" r:id="rId2"/>
    <sheet name="JV Deals" sheetId="3" r:id="rId3"/>
    <sheet name="Assignments" sheetId="6" r:id="rId4"/>
    <sheet name="Consolidated IRR Calc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K9" i="3" s="1"/>
  <c r="N9" i="3" s="1"/>
  <c r="L9" i="3"/>
  <c r="P9" i="3"/>
  <c r="I10" i="3"/>
  <c r="K10" i="3"/>
  <c r="N10" i="3" s="1"/>
  <c r="L10" i="3"/>
  <c r="P10" i="3"/>
  <c r="I11" i="3"/>
  <c r="K11" i="3" s="1"/>
  <c r="N11" i="3" s="1"/>
  <c r="L11" i="3"/>
  <c r="P11" i="3"/>
  <c r="I12" i="3"/>
  <c r="K12" i="3"/>
  <c r="L12" i="3"/>
  <c r="N12" i="3"/>
  <c r="P12" i="3"/>
  <c r="I13" i="3"/>
  <c r="K13" i="3" s="1"/>
  <c r="N13" i="3" s="1"/>
  <c r="L13" i="3"/>
  <c r="P13" i="3"/>
  <c r="I14" i="3"/>
  <c r="K14" i="3"/>
  <c r="N14" i="3" s="1"/>
  <c r="L14" i="3"/>
  <c r="P14" i="3"/>
  <c r="I15" i="3"/>
  <c r="K15" i="3" s="1"/>
  <c r="N15" i="3" s="1"/>
  <c r="L15" i="3"/>
  <c r="P15" i="3"/>
  <c r="I16" i="3"/>
  <c r="K16" i="3"/>
  <c r="L16" i="3"/>
  <c r="N16" i="3"/>
  <c r="P16" i="3"/>
  <c r="Q10" i="1"/>
  <c r="N18" i="1"/>
  <c r="N28" i="1"/>
  <c r="N13" i="1"/>
  <c r="P13" i="1" s="1"/>
  <c r="N29" i="1"/>
  <c r="P29" i="1" s="1"/>
  <c r="N26" i="1"/>
  <c r="P26" i="1" s="1"/>
  <c r="N27" i="1"/>
  <c r="P27" i="1" s="1"/>
  <c r="N25" i="1"/>
  <c r="P25" i="1" s="1"/>
  <c r="N20" i="1"/>
  <c r="P20" i="1" s="1"/>
  <c r="N24" i="1"/>
  <c r="P24" i="1" s="1"/>
  <c r="N21" i="1"/>
  <c r="P21" i="1" s="1"/>
  <c r="N17" i="1"/>
  <c r="N16" i="1"/>
  <c r="N15" i="1"/>
  <c r="N12" i="1"/>
  <c r="N11" i="1"/>
  <c r="N9" i="1"/>
  <c r="P9" i="1" s="1"/>
  <c r="N10" i="1"/>
  <c r="P10" i="1" s="1"/>
  <c r="N8" i="1"/>
  <c r="P8" i="1" s="1"/>
  <c r="Q8" i="1"/>
  <c r="Q9" i="1"/>
  <c r="Q11" i="1"/>
  <c r="Q12" i="1"/>
  <c r="Q15" i="1"/>
  <c r="Q16" i="1"/>
  <c r="Q23" i="1"/>
  <c r="Q30" i="1"/>
  <c r="Q22" i="1"/>
  <c r="Q14" i="1"/>
  <c r="Q19" i="1"/>
  <c r="Q17" i="1"/>
  <c r="Q21" i="1"/>
  <c r="Q24" i="1"/>
  <c r="Q20" i="1"/>
  <c r="Q25" i="1"/>
  <c r="Q27" i="1"/>
  <c r="Q26" i="1"/>
  <c r="Q29" i="1"/>
  <c r="Q13" i="1"/>
  <c r="Q28" i="1"/>
  <c r="Q18" i="1"/>
  <c r="K9" i="5" a="1"/>
  <c r="K9" i="5" s="1"/>
  <c r="B9" i="5" a="1"/>
  <c r="B9" i="5" s="1"/>
  <c r="E17" i="4"/>
  <c r="D17" i="4"/>
  <c r="P17" i="1"/>
  <c r="G9" i="3"/>
  <c r="G10" i="3"/>
  <c r="G11" i="3"/>
  <c r="G12" i="3"/>
  <c r="G13" i="3"/>
  <c r="G14" i="3"/>
  <c r="G15" i="3"/>
  <c r="G16" i="3"/>
  <c r="I8" i="1"/>
  <c r="I10" i="1"/>
  <c r="I9" i="1"/>
  <c r="I16" i="1"/>
  <c r="I11" i="1"/>
  <c r="I12" i="1"/>
  <c r="I15" i="1"/>
  <c r="I23" i="1"/>
  <c r="I30" i="1"/>
  <c r="I22" i="1"/>
  <c r="I14" i="1"/>
  <c r="I19" i="1"/>
  <c r="I17" i="1"/>
  <c r="I21" i="1"/>
  <c r="I26" i="1"/>
  <c r="I27" i="1"/>
  <c r="I29" i="1"/>
  <c r="I25" i="1"/>
  <c r="I24" i="1"/>
  <c r="I20" i="1"/>
  <c r="I13" i="1"/>
  <c r="I28" i="1"/>
  <c r="I18" i="1"/>
  <c r="D9" i="3"/>
  <c r="D10" i="3"/>
  <c r="D11" i="3"/>
  <c r="D12" i="3"/>
  <c r="D13" i="3"/>
  <c r="D14" i="3"/>
  <c r="D15" i="3"/>
  <c r="D16" i="3"/>
  <c r="D10" i="4"/>
  <c r="D8" i="1"/>
  <c r="D10" i="1"/>
  <c r="D9" i="1"/>
  <c r="D16" i="1"/>
  <c r="D11" i="1"/>
  <c r="D12" i="1"/>
  <c r="D15" i="1"/>
  <c r="D23" i="1"/>
  <c r="D30" i="1"/>
  <c r="D22" i="1"/>
  <c r="D14" i="1"/>
  <c r="D19" i="1"/>
  <c r="D17" i="1"/>
  <c r="D21" i="1"/>
  <c r="D26" i="1"/>
  <c r="D27" i="1"/>
  <c r="D29" i="1"/>
  <c r="D25" i="1"/>
  <c r="D24" i="1"/>
  <c r="D20" i="1"/>
  <c r="D13" i="1"/>
  <c r="D28" i="1"/>
  <c r="D18" i="1"/>
  <c r="G17" i="1"/>
  <c r="G21" i="1"/>
  <c r="G26" i="1"/>
  <c r="G27" i="1"/>
  <c r="G29" i="1"/>
  <c r="G25" i="1"/>
  <c r="G24" i="1"/>
  <c r="G20" i="1"/>
  <c r="L17" i="1"/>
  <c r="M17" i="1" s="1"/>
  <c r="L21" i="1"/>
  <c r="M21" i="1" s="1"/>
  <c r="L26" i="1"/>
  <c r="M26" i="1" s="1"/>
  <c r="L27" i="1"/>
  <c r="M27" i="1" s="1"/>
  <c r="L29" i="1"/>
  <c r="M29" i="1" s="1"/>
  <c r="L25" i="1"/>
  <c r="M25" i="1" s="1"/>
  <c r="L24" i="1"/>
  <c r="M24" i="1" s="1"/>
  <c r="L20" i="1"/>
  <c r="M20" i="1" s="1"/>
  <c r="G9" i="1"/>
  <c r="L9" i="1"/>
  <c r="M9" i="1" s="1"/>
  <c r="G10" i="1"/>
  <c r="L10" i="1"/>
  <c r="M10" i="1" s="1"/>
  <c r="G8" i="1"/>
  <c r="L8" i="1"/>
  <c r="M8" i="1" s="1"/>
  <c r="G13" i="1"/>
  <c r="L13" i="1"/>
  <c r="M13" i="1" s="1"/>
  <c r="J19" i="1"/>
  <c r="N19" i="1" s="1"/>
  <c r="J14" i="1"/>
  <c r="N14" i="1" s="1"/>
  <c r="J22" i="1"/>
  <c r="N22" i="1" s="1"/>
  <c r="J30" i="1"/>
  <c r="N30" i="1" s="1"/>
  <c r="J23" i="1"/>
  <c r="N23" i="1" s="1"/>
  <c r="G30" i="1"/>
  <c r="G22" i="1"/>
  <c r="G14" i="1"/>
  <c r="G19" i="1"/>
  <c r="L30" i="1"/>
  <c r="M30" i="1" s="1"/>
  <c r="L22" i="1"/>
  <c r="M22" i="1" s="1"/>
  <c r="L14" i="1"/>
  <c r="M14" i="1" s="1"/>
  <c r="L19" i="1"/>
  <c r="M19" i="1" s="1"/>
  <c r="G23" i="1"/>
  <c r="L23" i="1"/>
  <c r="M23" i="1" s="1"/>
  <c r="M16" i="3" l="1"/>
  <c r="M12" i="3"/>
  <c r="M13" i="3"/>
  <c r="M11" i="3"/>
  <c r="M15" i="3"/>
  <c r="M10" i="3"/>
  <c r="M14" i="3"/>
  <c r="M9" i="3"/>
  <c r="E9" i="5" a="1"/>
  <c r="E9" i="5" s="1"/>
  <c r="D11" i="4"/>
  <c r="Q9" i="5" a="1"/>
  <c r="Q9" i="5" s="1"/>
  <c r="D12" i="4"/>
  <c r="H9" i="5" a="1"/>
  <c r="H9" i="5" s="1"/>
  <c r="N9" i="5" a="1"/>
  <c r="N9" i="5" s="1"/>
  <c r="P19" i="1"/>
  <c r="O19" i="1" s="1"/>
  <c r="K19" i="1" s="1"/>
  <c r="P30" i="1"/>
  <c r="O30" i="1" s="1"/>
  <c r="K30" i="1" s="1"/>
  <c r="P23" i="1"/>
  <c r="O23" i="1" s="1"/>
  <c r="K23" i="1" s="1"/>
  <c r="P14" i="1"/>
  <c r="O14" i="1" s="1"/>
  <c r="K14" i="1" s="1"/>
  <c r="P22" i="1"/>
  <c r="O22" i="1" s="1"/>
  <c r="K22" i="1" s="1"/>
  <c r="D38" i="4"/>
  <c r="D35" i="4"/>
  <c r="D36" i="4"/>
  <c r="C34" i="4"/>
  <c r="O17" i="1"/>
  <c r="K17" i="1" s="1"/>
  <c r="O24" i="1"/>
  <c r="K24" i="1" s="1"/>
  <c r="O25" i="1"/>
  <c r="K25" i="1" s="1"/>
  <c r="O27" i="1"/>
  <c r="K27" i="1" s="1"/>
  <c r="O29" i="1"/>
  <c r="K29" i="1" s="1"/>
  <c r="O20" i="1"/>
  <c r="K20" i="1" s="1"/>
  <c r="O26" i="1"/>
  <c r="K26" i="1" s="1"/>
  <c r="O21" i="1"/>
  <c r="K21" i="1" s="1"/>
  <c r="O9" i="1"/>
  <c r="K9" i="1" s="1"/>
  <c r="O10" i="1"/>
  <c r="K10" i="1" s="1"/>
  <c r="O8" i="1"/>
  <c r="K8" i="1" s="1"/>
  <c r="O13" i="1"/>
  <c r="K13" i="1" s="1"/>
  <c r="L16" i="1" l="1"/>
  <c r="L11" i="1"/>
  <c r="L12" i="1"/>
  <c r="L15" i="1"/>
  <c r="L28" i="1"/>
  <c r="L18" i="1"/>
  <c r="D37" i="4" l="1"/>
  <c r="G18" i="1" l="1"/>
  <c r="G28" i="1"/>
  <c r="M18" i="1"/>
  <c r="M28" i="1"/>
  <c r="P18" i="1"/>
  <c r="P28" i="1"/>
  <c r="E15" i="4" l="1"/>
  <c r="E14" i="4"/>
  <c r="C36" i="4"/>
  <c r="E36" i="4" s="1"/>
  <c r="C35" i="4"/>
  <c r="E35" i="4" s="1"/>
  <c r="O28" i="1"/>
  <c r="K28" i="1" s="1"/>
  <c r="O18" i="1"/>
  <c r="K18" i="1" s="1"/>
  <c r="P16" i="1"/>
  <c r="P11" i="1"/>
  <c r="P12" i="1"/>
  <c r="P15" i="1"/>
  <c r="G15" i="1"/>
  <c r="M15" i="1"/>
  <c r="G16" i="1"/>
  <c r="G11" i="1"/>
  <c r="G12" i="1"/>
  <c r="M16" i="1"/>
  <c r="M11" i="1"/>
  <c r="M12" i="1"/>
  <c r="I9" i="5" l="1" a="1"/>
  <c r="I9" i="5" s="1"/>
  <c r="I6" i="5" s="1"/>
  <c r="O9" i="5" a="1"/>
  <c r="O9" i="5" s="1"/>
  <c r="O6" i="5" s="1"/>
  <c r="D24" i="4"/>
  <c r="E11" i="4"/>
  <c r="F9" i="5" a="1"/>
  <c r="F9" i="5" s="1"/>
  <c r="F6" i="5" s="1"/>
  <c r="R9" i="5" a="1"/>
  <c r="R9" i="5" s="1"/>
  <c r="R6" i="5" s="1"/>
  <c r="E13" i="4"/>
  <c r="C9" i="5" a="1"/>
  <c r="C9" i="5" s="1"/>
  <c r="C6" i="5" s="1"/>
  <c r="D23" i="4"/>
  <c r="E23" i="4" s="1"/>
  <c r="E10" i="4"/>
  <c r="L9" i="5" a="1"/>
  <c r="L9" i="5" s="1"/>
  <c r="L6" i="5" s="1"/>
  <c r="D34" i="4"/>
  <c r="E34" i="4" s="1"/>
  <c r="C38" i="4"/>
  <c r="E38" i="4" s="1"/>
  <c r="C37" i="4"/>
  <c r="E37" i="4" s="1"/>
  <c r="O15" i="1"/>
  <c r="K15" i="1" s="1"/>
  <c r="O12" i="1"/>
  <c r="K12" i="1" s="1"/>
  <c r="O11" i="1"/>
  <c r="K11" i="1" s="1"/>
  <c r="O16" i="1"/>
  <c r="K16" i="1" s="1"/>
  <c r="E24" i="4" l="1"/>
  <c r="F24" i="4" s="1"/>
  <c r="D25" i="4"/>
  <c r="G23" i="4"/>
  <c r="I23" i="4" s="1"/>
  <c r="G24" i="4"/>
  <c r="I24" i="4" s="1"/>
  <c r="G25" i="4"/>
  <c r="I25" i="4" s="1"/>
  <c r="E25" i="4" l="1"/>
  <c r="F25" i="4" s="1"/>
  <c r="F2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<sst xmlns="http://schemas.openxmlformats.org/spreadsheetml/2006/main" count="190" uniqueCount="73">
  <si>
    <t>Confidential</t>
  </si>
  <si>
    <t>Entity Name**</t>
  </si>
  <si>
    <t>Historical Performance Summary</t>
  </si>
  <si>
    <t>Last Updated</t>
  </si>
  <si>
    <t>Transaction Activity Summary</t>
  </si>
  <si>
    <t>Properties</t>
  </si>
  <si>
    <t>Volume</t>
  </si>
  <si>
    <t>Purchases</t>
  </si>
  <si>
    <t>Sales</t>
  </si>
  <si>
    <t>Held in Portfolio / Inventory</t>
  </si>
  <si>
    <t>Book Value of Current Portfolio</t>
  </si>
  <si>
    <t>Market Value of Current Portfolio</t>
  </si>
  <si>
    <t>MV of Current Portfolio (Net of TXN Fees)</t>
  </si>
  <si>
    <t>Institutional Assignments*</t>
  </si>
  <si>
    <t>* No capital at risk. Sourcing for large institutional buyers</t>
  </si>
  <si>
    <t>Return Summary</t>
  </si>
  <si>
    <t>Capital Invested</t>
  </si>
  <si>
    <t>Profit</t>
  </si>
  <si>
    <t>Money Multiple</t>
  </si>
  <si>
    <t>Return from Purchase and Sale*</t>
  </si>
  <si>
    <t>Return from Rental Income
(~CAP Rate)**</t>
  </si>
  <si>
    <t>Combined 
IRR</t>
  </si>
  <si>
    <t>Realized Sales</t>
  </si>
  <si>
    <t>Unrealized Sales</t>
  </si>
  <si>
    <t>Blended</t>
  </si>
  <si>
    <t>* For simplicity in calcluation, all renovations expenses were capitalized  on the date-of-purchase. For larger renovations, this materially lowers IRR</t>
  </si>
  <si>
    <t>** Most properties held on out balances sheet have tenants in place and earn above-Market CAP rates.  E.g., &gt;$8MM of assets are performing at ~8.0%+ CAP</t>
  </si>
  <si>
    <t>Transaction Volume</t>
  </si>
  <si>
    <t>By Year</t>
  </si>
  <si>
    <t>Total</t>
  </si>
  <si>
    <t>Historical Performance - Flips and Long Term Holds</t>
  </si>
  <si>
    <t>(Net of txn costs)</t>
  </si>
  <si>
    <t>Address</t>
  </si>
  <si>
    <t>Purchase Date</t>
  </si>
  <si>
    <t>PurchaseYear</t>
  </si>
  <si>
    <t>Purchase Price</t>
  </si>
  <si>
    <t>Improvements</t>
  </si>
  <si>
    <t>Total Investment</t>
  </si>
  <si>
    <t>Sales Date</t>
  </si>
  <si>
    <t>SalesYear</t>
  </si>
  <si>
    <t>Sales Price or MV</t>
  </si>
  <si>
    <t>Check</t>
  </si>
  <si>
    <t>Days Inventory</t>
  </si>
  <si>
    <t>Yrs Inventory</t>
  </si>
  <si>
    <t>Est Net Sales Proceeds</t>
  </si>
  <si>
    <t>Deal Level 
IRR</t>
  </si>
  <si>
    <t>Money
 Multiple</t>
  </si>
  <si>
    <t>Realized?</t>
  </si>
  <si>
    <t>Notes</t>
  </si>
  <si>
    <t>Entity</t>
  </si>
  <si>
    <t>XXX Main St City State Zip</t>
  </si>
  <si>
    <t>100% Seller Financed</t>
  </si>
  <si>
    <t>Significant reno. Purchased date changed to match CF</t>
  </si>
  <si>
    <t xml:space="preserve">Historical Performance - JV Deals </t>
  </si>
  <si>
    <t>INPUT</t>
  </si>
  <si>
    <t>Property Address</t>
  </si>
  <si>
    <t>Profit Split</t>
  </si>
  <si>
    <t>Share-of-Profit</t>
  </si>
  <si>
    <t>Inventory Years</t>
  </si>
  <si>
    <t>IRR</t>
  </si>
  <si>
    <t>MoM</t>
  </si>
  <si>
    <t>Assignment Deals</t>
  </si>
  <si>
    <t>AB Contract Price</t>
  </si>
  <si>
    <t>Close Date</t>
  </si>
  <si>
    <t>Assignment Fee</t>
  </si>
  <si>
    <t>Entities</t>
  </si>
  <si>
    <t>All</t>
  </si>
  <si>
    <t>Tucson Residential</t>
  </si>
  <si>
    <t>Status</t>
  </si>
  <si>
    <t>Realized</t>
  </si>
  <si>
    <t>Realed</t>
  </si>
  <si>
    <t>Date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</si>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</sst>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0.0%"/>
    <numFmt numFmtId="168" formatCode="_([$$-409]* #,##0_);_([$$-409]* \(#,##0\);_([$$-409]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9" fontId="0" fillId="0" borderId="0" xfId="2" applyFont="1"/>
    <xf numFmtId="165" fontId="0" fillId="0" borderId="0" xfId="3" applyNumberFormat="1" applyFont="1"/>
    <xf numFmtId="9" fontId="0" fillId="0" borderId="1" xfId="2" applyFont="1" applyBorder="1"/>
    <xf numFmtId="9" fontId="0" fillId="0" borderId="0" xfId="2" applyFont="1" applyBorder="1"/>
    <xf numFmtId="0" fontId="5" fillId="2" borderId="0" xfId="0" applyFont="1" applyFill="1"/>
    <xf numFmtId="9" fontId="5" fillId="2" borderId="0" xfId="2" applyFont="1" applyFill="1" applyBorder="1"/>
    <xf numFmtId="14" fontId="0" fillId="0" borderId="0" xfId="1" applyNumberFormat="1" applyFont="1"/>
    <xf numFmtId="9" fontId="0" fillId="0" borderId="0" xfId="0" applyNumberFormat="1"/>
    <xf numFmtId="166" fontId="0" fillId="0" borderId="0" xfId="1" applyNumberFormat="1" applyFont="1"/>
    <xf numFmtId="164" fontId="0" fillId="0" borderId="0" xfId="0" applyNumberFormat="1"/>
    <xf numFmtId="0" fontId="3" fillId="0" borderId="0" xfId="0" applyFont="1"/>
    <xf numFmtId="0" fontId="0" fillId="0" borderId="2" xfId="0" applyBorder="1"/>
    <xf numFmtId="167" fontId="0" fillId="0" borderId="0" xfId="2" applyNumberFormat="1" applyFont="1"/>
    <xf numFmtId="14" fontId="0" fillId="0" borderId="0" xfId="2" applyNumberFormat="1" applyFont="1"/>
    <xf numFmtId="10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164" fontId="0" fillId="0" borderId="0" xfId="1" applyNumberFormat="1" applyFont="1" applyBorder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/>
    <xf numFmtId="165" fontId="0" fillId="0" borderId="0" xfId="3" applyNumberFormat="1" applyFont="1" applyBorder="1"/>
    <xf numFmtId="43" fontId="0" fillId="0" borderId="0" xfId="1" applyFont="1" applyBorder="1"/>
    <xf numFmtId="9" fontId="0" fillId="0" borderId="0" xfId="2" applyFont="1" applyAlignment="1">
      <alignment horizontal="center" wrapText="1"/>
    </xf>
    <xf numFmtId="168" fontId="0" fillId="0" borderId="0" xfId="0" applyNumberFormat="1"/>
    <xf numFmtId="0" fontId="0" fillId="0" borderId="0" xfId="0" applyAlignment="1">
      <alignment horizontal="left" indent="1"/>
    </xf>
    <xf numFmtId="168" fontId="2" fillId="0" borderId="0" xfId="0" applyNumberFormat="1" applyFont="1"/>
    <xf numFmtId="43" fontId="0" fillId="0" borderId="0" xfId="1" applyFont="1" applyAlignment="1">
      <alignment horizontal="center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8" fontId="0" fillId="0" borderId="0" xfId="1" applyNumberFormat="1" applyFont="1" applyBorder="1"/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2" fillId="4" borderId="0" xfId="0" applyFont="1" applyFill="1"/>
    <xf numFmtId="14" fontId="8" fillId="4" borderId="0" xfId="0" applyNumberFormat="1" applyFont="1" applyFill="1"/>
    <xf numFmtId="0" fontId="3" fillId="0" borderId="1" xfId="0" applyFont="1" applyBorder="1" applyAlignment="1"/>
  </cellXfs>
  <cellStyles count="5">
    <cellStyle name="Comma" xfId="1" builtinId="3"/>
    <cellStyle name="Currency" xfId="3" builtinId="4"/>
    <cellStyle name="Normal" xfId="0" builtinId="0"/>
    <cellStyle name="Normal 2" xfId="4" xr:uid="{5E04AD9D-0EB4-442A-A3C0-3E04D3B7012C}"/>
    <cellStyle name="Percent" xfId="2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[$$-409]* #,##0_);_([$$-409]* \(#,##0\);_([$$-409]* &quot;-&quot;??_);_(@_)"/>
    </dxf>
    <dxf>
      <numFmt numFmtId="19" formatCode="m/d/yyyy"/>
    </dxf>
    <dxf>
      <numFmt numFmtId="168" formatCode="_([$$-409]* #,##0_);_([$$-409]* \(#,##0\);_([$$-409]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* #,##0.0000_);_(* \(#,##0.0000\);_(* &quot;-&quot;??_);_(@_)"/>
    </dxf>
    <dxf>
      <numFmt numFmtId="164" formatCode="_(* #,##0_);_(* \(#,##0\);_(* &quot;-&quot;??_);_(@_)"/>
    </dxf>
    <dxf>
      <numFmt numFmtId="13" formatCode="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41</xdr:row>
      <xdr:rowOff>0</xdr:rowOff>
    </xdr:from>
    <xdr:to>
      <xdr:col>12</xdr:col>
      <xdr:colOff>0</xdr:colOff>
      <xdr:row>68</xdr:row>
      <xdr:rowOff>19315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091C2-5676-499F-A2C1-9A8C39CC5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1125" y="8739188"/>
          <a:ext cx="5315223" cy="51628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E92879-FDFA-4F0B-81C2-5A4A2C3D157C}" name="MasterList" displayName="MasterList" ref="B7:S30" totalsRowShown="0" headerRowDxfId="27">
  <autoFilter ref="B7:S30" xr:uid="{77E92879-FDFA-4F0B-81C2-5A4A2C3D157C}"/>
  <tableColumns count="18">
    <tableColumn id="2" xr3:uid="{C6F8BC0D-AE92-4F56-9703-003BDCE96BBD}" name="Address"/>
    <tableColumn id="3" xr3:uid="{24E84E1B-446F-4245-A2F8-8501B2E18E14}" name="Purchase Date"/>
    <tableColumn id="17" xr3:uid="{BF581245-5C1F-46BB-A69D-D6F07EA423AD}" name="PurchaseYear" dataCellStyle="Comma">
      <calculatedColumnFormula>YEAR(MasterList[[#This Row],[Purchase Date]])</calculatedColumnFormula>
    </tableColumn>
    <tableColumn id="4" xr3:uid="{69D2D1F5-2940-4C90-A188-7D2C2EFCA3D2}" name="Purchase Price" dataDxfId="26" dataCellStyle="Comma"/>
    <tableColumn id="5" xr3:uid="{525A7EE3-DF38-482C-B5D5-B41F0449A77E}" name="Improvements" dataDxfId="25" dataCellStyle="Comma"/>
    <tableColumn id="12" xr3:uid="{985C7BC1-BAC8-4973-A141-3025808C0747}" name="Total Investment" dataDxfId="24" dataCellStyle="Comma">
      <calculatedColumnFormula>SUM(MasterList[[#This Row],[Purchase Price]:[Improvements]])</calculatedColumnFormula>
    </tableColumn>
    <tableColumn id="6" xr3:uid="{49365022-339B-48A7-BC7B-0F476EBBA053}" name="Sales Date" dataDxfId="23"/>
    <tableColumn id="18" xr3:uid="{14CD6B3B-E6C0-4782-B2C8-7A1E5BB4B0E8}" name="SalesYear" dataDxfId="22" dataCellStyle="Comma">
      <calculatedColumnFormula>YEAR(MasterList[[#This Row],[Sales Date]])</calculatedColumnFormula>
    </tableColumn>
    <tableColumn id="7" xr3:uid="{E51B3D15-210A-4B7E-B350-9508F094190C}" name="Sales Price or MV" dataDxfId="21" dataCellStyle="Currency"/>
    <tableColumn id="13" xr3:uid="{5A75AC54-184F-4D93-BDEE-A83A324BEAA8}" name="Check" dataDxfId="20" dataCellStyle="Comma">
      <calculatedColumnFormula>MasterList[[#This Row],[Total Investment]]*(1+MasterList[[#This Row],[Deal Level 
IRR]])^(MasterList[[#This Row],[Days Inventory]]/365)</calculatedColumnFormula>
    </tableColumn>
    <tableColumn id="11" xr3:uid="{B89CC192-277E-4AD0-972F-75DDFA8DD736}" name="Days Inventory" dataDxfId="19" dataCellStyle="Comma">
      <calculatedColumnFormula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calculatedColumnFormula>
    </tableColumn>
    <tableColumn id="14" xr3:uid="{7D827507-70A5-4F17-9CCA-E9176F68B77E}" name="Yrs Inventory" dataDxfId="18" dataCellStyle="Comma">
      <calculatedColumnFormula>MasterList[[#This Row],[Days Inventory]]/365</calculatedColumnFormula>
    </tableColumn>
    <tableColumn id="15" xr3:uid="{46F754CF-D7B3-4B82-9B99-27560716FFF7}" name="Est Net Sales Proceeds" dataDxfId="17" dataCellStyle="Comma">
      <calculatedColumnFormula>MasterList[[#This Row],[Sales Price or MV]]*(1-$N$6)</calculatedColumnFormula>
    </tableColumn>
    <tableColumn id="8" xr3:uid="{230146BD-F3F0-4D46-A556-4C67D3570153}" name="Deal Level _x000a_IRR" dataCellStyle="Percent">
      <calculatedColumnFormula>MasterList[[#This Row],[Money
 Multiple]]^(1/MasterList[[#This Row],[Yrs Inventory]])-1</calculatedColumnFormula>
    </tableColumn>
    <tableColumn id="9" xr3:uid="{66AEA099-AFF1-4DF3-A5D7-0E24AF858F76}" name="Money_x000a_ Multiple" dataDxfId="16">
      <calculatedColumnFormula>MasterList[[#This Row],[Est Net Sales Proceeds]]/SUM(MasterList[[#This Row],[Purchase Price]:[Improvements]])</calculatedColumnFormula>
    </tableColumn>
    <tableColumn id="16" xr3:uid="{9A2735A3-0C08-49ED-9A56-05857BD9DE97}" name="Realized?" dataDxfId="15">
      <calculatedColumnFormula>IF(OR(ISBLANK(MasterList[[#This Row],[Sales Date]]),ISTEXT(MasterList[[#This Row],[Sales Date]])),FALSE, TRUE)</calculatedColumnFormula>
    </tableColumn>
    <tableColumn id="10" xr3:uid="{5E9F9AC9-98F9-4475-8DA0-7EEDA6A18E66}" name="Notes" dataDxfId="14">
      <calculatedColumnFormula>IF(ISTEXT(MasterList[[#This Row],[Sales Date]]),MasterList[[#This Row],[Sales Date]],"")</calculatedColumnFormula>
    </tableColumn>
    <tableColumn id="20" xr3:uid="{E6B561DB-9BFF-463F-AC36-0ADDF875D842}" name="Entit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C83D8A-9205-4AC2-97C8-BF0BCE4F3A49}" name="ThirdPartyList" displayName="ThirdPartyList" ref="B8:P16" totalsRowShown="0" headerRowDxfId="13" tableBorderDxfId="12">
  <autoFilter ref="B8:P16" xr:uid="{CFC83D8A-9205-4AC2-97C8-BF0BCE4F3A49}">
    <filterColumn colId="14">
      <filters>
        <filter val="TRUE"/>
      </filters>
    </filterColumn>
  </autoFilter>
  <sortState xmlns:xlrd2="http://schemas.microsoft.com/office/spreadsheetml/2017/richdata2" ref="B9:N16">
    <sortCondition ref="C8:C16"/>
  </sortState>
  <tableColumns count="15">
    <tableColumn id="1" xr3:uid="{5E15A5E5-6A27-4ADF-ABAB-E9B8E6D4E12D}" name="Property Address"/>
    <tableColumn id="2" xr3:uid="{60740C31-966E-41AF-8DE4-B5AB147BF8C6}" name="Purchase Date"/>
    <tableColumn id="8" xr3:uid="{909BF7A1-7537-4BE1-A2E5-351E7F9D68B0}" name="PurchaseYear" dataDxfId="11" dataCellStyle="Comma">
      <calculatedColumnFormula>YEAR(ThirdPartyList[[#This Row],[Purchase Date]])</calculatedColumnFormula>
    </tableColumn>
    <tableColumn id="5" xr3:uid="{B1D884D7-9B24-4470-B96F-95F55CE0559A}" name="Total Investment" dataDxfId="10" dataCellStyle="Comma"/>
    <tableColumn id="6" xr3:uid="{E54DA5A8-4E01-4B27-9CD7-9C0619B60F13}" name="Sales Date"/>
    <tableColumn id="9" xr3:uid="{69D3D6BD-AE2C-4057-8476-CE81BEE3162F}" name="SalesYear" dataDxfId="9" dataCellStyle="Comma">
      <calculatedColumnFormula>YEAR(ThirdPartyList[[#This Row],[Sales Date]])</calculatedColumnFormula>
    </tableColumn>
    <tableColumn id="7" xr3:uid="{A8A0B5DC-96DE-46E8-9BF5-474D36A6CCF7}" name="Sales Price or MV" dataDxfId="8" dataCellStyle="Comma"/>
    <tableColumn id="11" xr3:uid="{04007DC9-82B0-4CAA-9F11-76A8251118DF}" name="Est Net Sales Proceeds" dataDxfId="7" dataCellStyle="Comma">
      <calculatedColumnFormula>ThirdPartyList[[#This Row],[Sales Price or MV]]*0.97</calculatedColumnFormula>
    </tableColumn>
    <tableColumn id="15" xr3:uid="{D607BE36-3CC6-4A80-92B4-6DCAE2A6937A}" name="Profit Split" dataDxfId="6"/>
    <tableColumn id="14" xr3:uid="{3A821870-7C98-4F25-AD9A-4FA6501AD732}" name="Share-of-Profit" dataDxfId="5" dataCellStyle="Comma">
      <calculatedColumnFormula>(ThirdPartyList[[#This Row],[Est Net Sales Proceeds]]-ThirdPartyList[[#This Row],[Total Investment]])*ThirdPartyList[[#This Row],[Profit Split]]</calculatedColumnFormula>
    </tableColumn>
    <tableColumn id="4" xr3:uid="{224F1802-9052-4EEF-AFE8-3EE5B9C8BE36}" name="Inventory Years" dataDxfId="4" dataCellStyle="Comma">
      <calculatedColumnFormula>IF(ThirdPartyList[[#This Row],[Sales Date]]="",(TODAY()-ThirdPartyList[[#This Row],[Purchase Date]]+1)/365,(ThirdPartyList[[#This Row],[Sales Date]]-ThirdPartyList[[#This Row],[Purchase Date]]+1)/365)</calculatedColumnFormula>
    </tableColumn>
    <tableColumn id="12" xr3:uid="{81DAC2C3-78E6-46E6-8100-92A03FDAD63F}" name="IRR" dataCellStyle="Percent">
      <calculatedColumnFormula>ThirdPartyList[[#This Row],[MoM]]^(1/ThirdPartyList[[#This Row],[Inventory Years]])-1</calculatedColumnFormula>
    </tableColumn>
    <tableColumn id="13" xr3:uid="{C1BF45A1-3578-4F72-BD71-44450BB6290B}" name="MoM">
      <calculatedColumnFormula>(ThirdPartyList[[#This Row],[Share-of-Profit]]+ThirdPartyList[[#This Row],[Total Investment]])/ThirdPartyList[[#This Row],[Total Investment]]</calculatedColumnFormula>
    </tableColumn>
    <tableColumn id="3" xr3:uid="{8344C202-7DA5-4E76-A1EA-ADCCCFF41662}" name="Notes"/>
    <tableColumn id="10" xr3:uid="{A76C1621-1E1A-4763-B4D9-6C432215EDCF}" name="Realized?" dataDxfId="3">
      <calculatedColumnFormula>IF(NOT(ISBLANK(ThirdPartyList[[#This Row],[Sales Date]])), TRUE, 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6D5752-94B7-42A0-B58B-29CCFF01B8B3}" name="AssignmentList" displayName="AssignmentList" ref="B7:E46" totalsRowShown="0">
  <autoFilter ref="B7:E46" xr:uid="{936D5752-94B7-42A0-B58B-29CCFF01B8B3}"/>
  <tableColumns count="4">
    <tableColumn id="1" xr3:uid="{E4F2FC42-F913-43E6-B9BB-817B5370F093}" name="Address"/>
    <tableColumn id="5" xr3:uid="{90E7D679-8BAE-456F-BEF7-C92FA0639AB3}" name="AB Contract Price" dataDxfId="2"/>
    <tableColumn id="6" xr3:uid="{2139051D-5A40-4513-8688-D59E79F9D488}" name="Close Date" dataDxfId="1"/>
    <tableColumn id="7" xr3:uid="{C71A3DAF-37E4-4DE1-A996-F398AE199CCB}" name="Assignment Fee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AB82-5BC6-49A3-933A-2A1621167073}">
  <sheetPr>
    <tabColor theme="4"/>
  </sheetPr>
  <dimension ref="A1:L38"/>
  <sheetViews>
    <sheetView showGridLines="0" zoomScale="80" zoomScaleNormal="80" workbookViewId="0">
      <selection activeCell="L42" sqref="L42"/>
    </sheetView>
  </sheetViews>
  <sheetFormatPr defaultColWidth="0" defaultRowHeight="15"/>
  <cols>
    <col min="1" max="1" width="2.7109375" customWidth="1"/>
    <col min="2" max="2" width="19.7109375" customWidth="1"/>
    <col min="3" max="3" width="15.28515625" bestFit="1" customWidth="1"/>
    <col min="4" max="4" width="16.5703125" bestFit="1" customWidth="1"/>
    <col min="5" max="5" width="15.42578125" bestFit="1" customWidth="1"/>
    <col min="6" max="6" width="11.7109375" customWidth="1"/>
    <col min="7" max="7" width="9.140625" customWidth="1"/>
    <col min="8" max="8" width="14.42578125" customWidth="1"/>
    <col min="9" max="9" width="11.85546875" customWidth="1"/>
    <col min="10" max="12" width="9.140625" customWidth="1"/>
    <col min="13" max="16384" width="9.140625" hidden="1"/>
  </cols>
  <sheetData>
    <row r="1" spans="2:12">
      <c r="B1" s="1" t="s">
        <v>0</v>
      </c>
    </row>
    <row r="2" spans="2:12">
      <c r="B2" s="48" t="s">
        <v>1</v>
      </c>
    </row>
    <row r="3" spans="2:12" s="3" customFormat="1" ht="28.5">
      <c r="B3" s="50" t="s">
        <v>2</v>
      </c>
      <c r="C3" s="50"/>
      <c r="D3" s="50"/>
      <c r="E3" s="50"/>
      <c r="F3" s="50"/>
      <c r="G3" s="50"/>
      <c r="H3" s="50"/>
      <c r="I3" s="50"/>
    </row>
    <row r="5" spans="2:12">
      <c r="B5" s="33" t="s">
        <v>3</v>
      </c>
      <c r="C5" s="49">
        <v>44984</v>
      </c>
    </row>
    <row r="7" spans="2:1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2:12">
      <c r="B8" s="41" t="s">
        <v>4</v>
      </c>
      <c r="C8" s="42"/>
      <c r="D8" s="47" t="s">
        <v>5</v>
      </c>
      <c r="E8" s="46" t="s">
        <v>6</v>
      </c>
      <c r="F8" s="41"/>
      <c r="G8" s="41"/>
      <c r="H8" s="41"/>
      <c r="I8" s="41"/>
      <c r="J8" s="41"/>
      <c r="K8" s="41"/>
      <c r="L8" s="41"/>
    </row>
    <row r="10" spans="2:12">
      <c r="B10" t="s">
        <v>7</v>
      </c>
      <c r="D10" s="6">
        <f>ROWS(MasterList[])+ROWS(ThirdPartyList[])</f>
        <v>31</v>
      </c>
      <c r="E10" s="26">
        <f xml:space="preserve">
SUM(MasterList[Total Investment])+
SUM(ThirdPartyList[Total Investment])</f>
        <v>11714640.450000001</v>
      </c>
    </row>
    <row r="11" spans="2:12">
      <c r="B11" t="s">
        <v>8</v>
      </c>
      <c r="D11" s="6">
        <f>COUNTIF(MasterList[Realized?], TRUE) +
COUNTIF(ThirdPartyList[Realized?], TRUE)</f>
        <v>16</v>
      </c>
      <c r="E11" s="26">
        <f xml:space="preserve">
SUMIF(MasterList[Realized?], TRUE, MasterList[Sales Price or MV]) +
SUMIF(ThirdPartyList[Realized?], TRUE, ThirdPartyList[Sales Price or MV])</f>
        <v>6423958.0800000001</v>
      </c>
      <c r="F11" s="9"/>
    </row>
    <row r="12" spans="2:12">
      <c r="B12" t="s">
        <v>9</v>
      </c>
      <c r="D12" s="6">
        <f>COUNTIF(MasterList[Realized?], FALSE) +
COUNTIF(ThirdPartyList[Realized?], FALSE)</f>
        <v>15</v>
      </c>
      <c r="E12" s="26"/>
    </row>
    <row r="13" spans="2:12">
      <c r="B13" s="38" t="s">
        <v>10</v>
      </c>
      <c r="E13" s="26">
        <f>SUMIF(MasterList[Realized?], FALSE, MasterList[Total Investment])+
SUMIF(ThirdPartyList[Realized?], FALSE, ThirdPartyList[Total Investment])</f>
        <v>5885042.0700000003</v>
      </c>
    </row>
    <row r="14" spans="2:12">
      <c r="B14" s="38" t="s">
        <v>11</v>
      </c>
      <c r="D14" s="6"/>
      <c r="E14" s="26">
        <f>SUMIF(MasterList[Realized?], FALSE, MasterList[Sales Price or MV])+
SUMIF(ThirdPartyList[Realized?], FALSE, ThirdPartyList[Sales Price or MV])</f>
        <v>9098000</v>
      </c>
    </row>
    <row r="15" spans="2:12">
      <c r="B15" s="38" t="s">
        <v>12</v>
      </c>
      <c r="D15" s="6"/>
      <c r="E15" s="26">
        <f xml:space="preserve">
SUMIF(MasterList[Realized?], FALSE, MasterList[Est Net Sales Proceeds])+
SUMIF(ThirdPartyList[Realized?], FALSE, ThirdPartyList[Est Net Sales Proceeds])</f>
        <v>8643100</v>
      </c>
    </row>
    <row r="16" spans="2:12">
      <c r="B16" s="38"/>
      <c r="D16" s="6"/>
      <c r="E16" s="26"/>
    </row>
    <row r="17" spans="2:12">
      <c r="B17" t="s">
        <v>13</v>
      </c>
      <c r="D17" s="27">
        <f>ROWS(AssignmentList[])</f>
        <v>39</v>
      </c>
      <c r="E17" s="37">
        <f>SUM(AssignmentList[AB Contract Price])</f>
        <v>11287800</v>
      </c>
      <c r="F17" s="39"/>
    </row>
    <row r="18" spans="2:12">
      <c r="B18" s="30" t="s">
        <v>14</v>
      </c>
    </row>
    <row r="19" spans="2:12">
      <c r="B19" s="30"/>
    </row>
    <row r="20" spans="2:12">
      <c r="B20" s="30"/>
    </row>
    <row r="21" spans="2:12" ht="75">
      <c r="B21" s="41" t="s">
        <v>15</v>
      </c>
      <c r="C21" s="42"/>
      <c r="D21" s="43" t="s">
        <v>16</v>
      </c>
      <c r="E21" s="43" t="s">
        <v>17</v>
      </c>
      <c r="F21" s="43" t="s">
        <v>18</v>
      </c>
      <c r="G21" s="43" t="s">
        <v>19</v>
      </c>
      <c r="H21" s="43" t="s">
        <v>20</v>
      </c>
      <c r="I21" s="43" t="s">
        <v>21</v>
      </c>
      <c r="J21" s="43"/>
      <c r="K21" s="43"/>
      <c r="L21" s="43"/>
    </row>
    <row r="23" spans="2:12">
      <c r="B23" t="s">
        <v>22</v>
      </c>
      <c r="D23" s="26">
        <f xml:space="preserve">
SUMIF(MasterList[Realized?], TRUE, MasterList[Total Investment]) +
SUMIF(ThirdPartyList[Realized?], TRUE, ThirdPartyList[Total Investment])</f>
        <v>5829598.3799999999</v>
      </c>
      <c r="E23" s="26">
        <f xml:space="preserve">
SUMIF(MasterList[Realized?], TRUE, MasterList[Est Net Sales Proceeds]) +
SUMIF(ThirdPartyList[Realized?], TRUE, ThirdPartyList[Est Net Sales Proceeds])-D23</f>
        <v>318281.79600000009</v>
      </c>
      <c r="F23" s="40">
        <f>1+E23/D23</f>
        <v>1.054597551195285</v>
      </c>
      <c r="G23" s="22">
        <f>'Consolidated IRR Calc'!F6</f>
        <v>7.0316818356513974E-2</v>
      </c>
      <c r="H23" s="24">
        <v>6.5000000000000002E-2</v>
      </c>
      <c r="I23" s="25">
        <f>SUM(G23:H23)</f>
        <v>0.13531681835651399</v>
      </c>
    </row>
    <row r="24" spans="2:12">
      <c r="B24" t="s">
        <v>23</v>
      </c>
      <c r="D24" s="26">
        <f xml:space="preserve">
SUMIF(MasterList[Realized?], FALSE, MasterList[Total Investment]) +
SUMIF(ThirdPartyList[Realized?], FALSE, ThirdPartyList[Total Investment])</f>
        <v>5885042.0700000003</v>
      </c>
      <c r="E24" s="26">
        <f>E15-D24</f>
        <v>2758057.9299999997</v>
      </c>
      <c r="F24" s="40">
        <f>1+E24/D24</f>
        <v>1.4686556013014194</v>
      </c>
      <c r="G24" s="22">
        <f ca="1">'Consolidated IRR Calc'!I6</f>
        <v>9.3488886952400208E-2</v>
      </c>
      <c r="H24" s="24">
        <v>6.5000000000000002E-2</v>
      </c>
      <c r="I24" s="25">
        <f t="shared" ref="I24" ca="1" si="0">SUM(G24:H24)</f>
        <v>0.15848888695240021</v>
      </c>
    </row>
    <row r="25" spans="2:12">
      <c r="B25" t="s">
        <v>24</v>
      </c>
      <c r="D25" s="26">
        <f>SUM(D23:D24)</f>
        <v>11714640.449999999</v>
      </c>
      <c r="E25" s="26">
        <f>SUM(E23:E24)</f>
        <v>3076339.7259999998</v>
      </c>
      <c r="F25" s="40">
        <f>1+E25/D25</f>
        <v>1.2626064145229485</v>
      </c>
      <c r="G25" s="22">
        <f ca="1">'Consolidated IRR Calc'!C6</f>
        <v>9.006805121898652E-2</v>
      </c>
      <c r="H25" s="24">
        <v>6.5000000000000002E-2</v>
      </c>
      <c r="I25" s="25">
        <f ca="1">SUM(G25:H25)</f>
        <v>0.15506805121898654</v>
      </c>
    </row>
    <row r="26" spans="2:12">
      <c r="B26" s="30" t="s">
        <v>25</v>
      </c>
    </row>
    <row r="27" spans="2:12">
      <c r="B27" s="30" t="s">
        <v>26</v>
      </c>
    </row>
    <row r="28" spans="2:12">
      <c r="B28" s="30"/>
    </row>
    <row r="29" spans="2:12">
      <c r="B29" s="30"/>
    </row>
    <row r="31" spans="2:12">
      <c r="B31" s="41" t="s">
        <v>27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12">
      <c r="B32" s="41" t="s">
        <v>28</v>
      </c>
      <c r="C32" s="41" t="s">
        <v>7</v>
      </c>
      <c r="D32" s="41" t="s">
        <v>8</v>
      </c>
      <c r="E32" s="41" t="s">
        <v>29</v>
      </c>
      <c r="F32" s="41"/>
      <c r="G32" s="41"/>
      <c r="H32" s="41"/>
      <c r="I32" s="41"/>
      <c r="J32" s="41"/>
      <c r="K32" s="41"/>
      <c r="L32" s="41"/>
    </row>
    <row r="34" spans="2:6">
      <c r="B34" s="44">
        <v>2018</v>
      </c>
      <c r="C34" s="26">
        <f>SUMIF(MasterList[PurchaseYear], B34, MasterList[Total Investment]) + SUMIF(ThirdPartyList[PurchaseYear],B34, ThirdPartyList[Total Investment])</f>
        <v>2420000</v>
      </c>
      <c r="D34" s="26">
        <f>SUMIF(MasterList[SalesYear],B34,MasterList[Sales Price or MV]) + SUMIF(ThirdPartyList[SalesYear],B34, ThirdPartyList[Sales Price or MV])</f>
        <v>0</v>
      </c>
      <c r="E34" s="37">
        <f>SUM(C34:D34)</f>
        <v>2420000</v>
      </c>
    </row>
    <row r="35" spans="2:6">
      <c r="B35" s="44">
        <v>2019</v>
      </c>
      <c r="C35" s="26">
        <f>SUMIF(MasterList[PurchaseYear], B35, MasterList[Total Investment]) + SUMIF(ThirdPartyList[PurchaseYear],B35, ThirdPartyList[Total Investment])</f>
        <v>2198000</v>
      </c>
      <c r="D35" s="26">
        <f>SUMIF(MasterList[SalesYear],B35,MasterList[Sales Price or MV]) + SUMIF(ThirdPartyList[SalesYear],B35, ThirdPartyList[Sales Price or MV])</f>
        <v>895000</v>
      </c>
      <c r="E35" s="37">
        <f>SUM(C35:D35)</f>
        <v>3093000</v>
      </c>
    </row>
    <row r="36" spans="2:6">
      <c r="B36" s="44">
        <v>2020</v>
      </c>
      <c r="C36" s="26">
        <f>SUMIF(MasterList[PurchaseYear], B36, MasterList[Total Investment]) + SUMIF(ThirdPartyList[PurchaseYear],B36, ThirdPartyList[Total Investment])</f>
        <v>626000</v>
      </c>
      <c r="D36" s="26">
        <f>SUMIF(MasterList[SalesYear],B36,MasterList[Sales Price or MV]) + SUMIF(ThirdPartyList[SalesYear],B36, ThirdPartyList[Sales Price or MV])</f>
        <v>1425000</v>
      </c>
      <c r="E36" s="37">
        <f>SUM(C36:D36)</f>
        <v>2051000</v>
      </c>
    </row>
    <row r="37" spans="2:6">
      <c r="B37" s="44">
        <v>2021</v>
      </c>
      <c r="C37" s="26">
        <f>SUMIF(MasterList[PurchaseYear], B37, MasterList[Total Investment]) + SUMIF(ThirdPartyList[PurchaseYear],B37, ThirdPartyList[Total Investment])</f>
        <v>2800000</v>
      </c>
      <c r="D37" s="26">
        <f>SUMIF(MasterList[SalesYear],B37,MasterList[Sales Price or MV]) + SUMIF(ThirdPartyList[SalesYear],B37, ThirdPartyList[Sales Price or MV])</f>
        <v>0</v>
      </c>
      <c r="E37" s="37">
        <f>SUM(C37:D37)</f>
        <v>2800000</v>
      </c>
    </row>
    <row r="38" spans="2:6">
      <c r="B38" s="44">
        <v>2022</v>
      </c>
      <c r="C38" s="45">
        <f>SUMIF(MasterList[PurchaseYear], B38, MasterList[Total Investment]) + SUMIF(ThirdPartyList[PurchaseYear],B38, ThirdPartyList[Total Investment])</f>
        <v>2978598.38</v>
      </c>
      <c r="D38" s="45">
        <f>SUMIF(MasterList[SalesYear],B38,MasterList[Sales Price or MV]) + SUMIF(ThirdPartyList[SalesYear],B38, ThirdPartyList[Sales Price or MV])</f>
        <v>4103958.08</v>
      </c>
      <c r="E38" s="37">
        <f>SUM(C38:D38)</f>
        <v>7082556.46</v>
      </c>
      <c r="F38" s="19"/>
    </row>
  </sheetData>
  <mergeCells count="1">
    <mergeCell ref="B3:I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0199-3B82-484E-8798-1F4FBAE81E28}">
  <dimension ref="A1:U30"/>
  <sheetViews>
    <sheetView showGridLines="0" zoomScaleNormal="100" workbookViewId="0">
      <selection activeCell="B34" sqref="B34"/>
    </sheetView>
  </sheetViews>
  <sheetFormatPr defaultColWidth="0" defaultRowHeight="15"/>
  <cols>
    <col min="1" max="1" width="5.5703125" customWidth="1"/>
    <col min="2" max="2" width="38.28515625" bestFit="1" customWidth="1"/>
    <col min="3" max="3" width="18.28515625" bestFit="1" customWidth="1"/>
    <col min="4" max="4" width="14.85546875" hidden="1" customWidth="1"/>
    <col min="5" max="5" width="18.5703125" bestFit="1" customWidth="1"/>
    <col min="6" max="6" width="18.7109375" bestFit="1" customWidth="1"/>
    <col min="7" max="7" width="20.7109375" bestFit="1" customWidth="1"/>
    <col min="8" max="8" width="14.7109375" bestFit="1" customWidth="1"/>
    <col min="9" max="9" width="14.7109375" hidden="1" customWidth="1"/>
    <col min="10" max="10" width="17.28515625" bestFit="1" customWidth="1"/>
    <col min="11" max="11" width="13.28515625" hidden="1" customWidth="1"/>
    <col min="12" max="12" width="18.85546875" hidden="1" customWidth="1"/>
    <col min="13" max="13" width="17.28515625" hidden="1" customWidth="1"/>
    <col min="14" max="14" width="25.7109375" bestFit="1" customWidth="1"/>
    <col min="15" max="15" width="21.42578125" style="10" bestFit="1" customWidth="1"/>
    <col min="16" max="16" width="13.7109375" bestFit="1" customWidth="1"/>
    <col min="17" max="17" width="14.140625" bestFit="1" customWidth="1"/>
    <col min="18" max="18" width="49.28515625" hidden="1" customWidth="1"/>
    <col min="19" max="19" width="21.5703125" bestFit="1" customWidth="1"/>
    <col min="20" max="20" width="9.140625" customWidth="1"/>
    <col min="21" max="21" width="4" customWidth="1"/>
    <col min="22" max="16384" width="9.140625" hidden="1"/>
  </cols>
  <sheetData>
    <row r="1" spans="2:19">
      <c r="B1" s="1" t="s">
        <v>0</v>
      </c>
    </row>
    <row r="2" spans="2:19">
      <c r="B2" s="48" t="s">
        <v>1</v>
      </c>
    </row>
    <row r="3" spans="2:19" s="3" customFormat="1" ht="28.5">
      <c r="B3" s="50" t="s">
        <v>30</v>
      </c>
      <c r="C3" s="50"/>
      <c r="D3" s="50"/>
      <c r="E3" s="50"/>
      <c r="F3" s="50"/>
      <c r="G3" s="50"/>
      <c r="H3" s="50"/>
      <c r="O3" s="12"/>
    </row>
    <row r="4" spans="2:19" ht="28.5">
      <c r="B4" s="20"/>
      <c r="C4" s="20"/>
      <c r="D4" s="20"/>
      <c r="E4" s="20"/>
      <c r="F4" s="20"/>
      <c r="G4" s="20"/>
      <c r="H4" s="20"/>
      <c r="O4" s="13"/>
    </row>
    <row r="5" spans="2:19" ht="28.5">
      <c r="B5" s="20"/>
      <c r="N5" t="s">
        <v>31</v>
      </c>
      <c r="O5" s="13"/>
    </row>
    <row r="6" spans="2:19">
      <c r="N6" s="24">
        <v>0.05</v>
      </c>
    </row>
    <row r="7" spans="2:19" ht="30">
      <c r="B7" s="31" t="s">
        <v>32</v>
      </c>
      <c r="C7" s="31" t="s">
        <v>33</v>
      </c>
      <c r="D7" s="31" t="s">
        <v>34</v>
      </c>
      <c r="E7" s="31" t="s">
        <v>35</v>
      </c>
      <c r="F7" s="32" t="s">
        <v>36</v>
      </c>
      <c r="G7" s="31" t="s">
        <v>37</v>
      </c>
      <c r="H7" s="31" t="s">
        <v>38</v>
      </c>
      <c r="I7" s="31" t="s">
        <v>39</v>
      </c>
      <c r="J7" s="32" t="s">
        <v>40</v>
      </c>
      <c r="K7" s="31" t="s">
        <v>41</v>
      </c>
      <c r="L7" s="31" t="s">
        <v>42</v>
      </c>
      <c r="M7" s="31" t="s">
        <v>43</v>
      </c>
      <c r="N7" s="31" t="s">
        <v>44</v>
      </c>
      <c r="O7" s="36" t="s">
        <v>45</v>
      </c>
      <c r="P7" s="32" t="s">
        <v>46</v>
      </c>
      <c r="Q7" s="31" t="s">
        <v>47</v>
      </c>
      <c r="R7" s="31" t="s">
        <v>48</v>
      </c>
      <c r="S7" s="31" t="s">
        <v>49</v>
      </c>
    </row>
    <row r="8" spans="2:19">
      <c r="B8" t="s">
        <v>50</v>
      </c>
      <c r="C8" s="4">
        <v>44287</v>
      </c>
      <c r="D8" s="5">
        <f>YEAR(MasterList[[#This Row],[Purchase Date]])</f>
        <v>2021</v>
      </c>
      <c r="E8" s="6">
        <v>600000</v>
      </c>
      <c r="F8" s="6">
        <v>500000</v>
      </c>
      <c r="G8" s="6">
        <f>SUM(MasterList[[#This Row],[Purchase Price]:[Improvements]])</f>
        <v>1100000</v>
      </c>
      <c r="H8" s="7"/>
      <c r="I8" s="28">
        <f>YEAR(MasterList[[#This Row],[Sales Date]])</f>
        <v>1900</v>
      </c>
      <c r="J8" s="11">
        <v>1775000</v>
      </c>
      <c r="K8" s="5">
        <f ca="1">MasterList[[#This Row],[Total Investment]]*(1+MasterList[[#This Row],[Deal Level 
IRR]])^(MasterList[[#This Row],[Days Inventory]]/365)</f>
        <v>1686250.0000000002</v>
      </c>
      <c r="L8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1050</v>
      </c>
      <c r="M8" s="6">
        <f ca="1">MasterList[[#This Row],[Days Inventory]]/365</f>
        <v>2.8767123287671232</v>
      </c>
      <c r="N8" s="6">
        <f>MasterList[[#This Row],[Sales Price or MV]]*(1-$N$6)</f>
        <v>1686250</v>
      </c>
      <c r="O8" s="10">
        <f ca="1">MasterList[[#This Row],[Money
 Multiple]]^(1/MasterList[[#This Row],[Yrs Inventory]])-1</f>
        <v>0.16009488184263776</v>
      </c>
      <c r="P8" s="9">
        <f>MasterList[[#This Row],[Est Net Sales Proceeds]]/SUM(MasterList[[#This Row],[Purchase Price]:[Improvements]])</f>
        <v>1.5329545454545455</v>
      </c>
      <c r="Q8" s="9" t="b">
        <f>IF(OR(ISBLANK(MasterList[[#This Row],[Sales Date]]),ISTEXT(MasterList[[#This Row],[Sales Date]])),FALSE, TRUE)</f>
        <v>0</v>
      </c>
    </row>
    <row r="9" spans="2:19">
      <c r="B9" t="s">
        <v>50</v>
      </c>
      <c r="C9" s="4">
        <v>44317</v>
      </c>
      <c r="D9" s="5">
        <f>YEAR(MasterList[[#This Row],[Purchase Date]])</f>
        <v>2021</v>
      </c>
      <c r="E9" s="6">
        <v>500000</v>
      </c>
      <c r="F9" s="6">
        <v>400000</v>
      </c>
      <c r="G9" s="6">
        <f>SUM(MasterList[[#This Row],[Purchase Price]:[Improvements]])</f>
        <v>900000</v>
      </c>
      <c r="H9" s="7"/>
      <c r="I9" s="28">
        <f>YEAR(MasterList[[#This Row],[Sales Date]])</f>
        <v>1900</v>
      </c>
      <c r="J9" s="11">
        <v>1060000</v>
      </c>
      <c r="K9" s="5">
        <f ca="1">MasterList[[#This Row],[Total Investment]]*(1+MasterList[[#This Row],[Deal Level 
IRR]])^(MasterList[[#This Row],[Days Inventory]]/365)</f>
        <v>1007000.0000000001</v>
      </c>
      <c r="L9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1020</v>
      </c>
      <c r="M9" s="6">
        <f ca="1">MasterList[[#This Row],[Days Inventory]]/365</f>
        <v>2.7945205479452055</v>
      </c>
      <c r="N9" s="6">
        <f>MasterList[[#This Row],[Sales Price or MV]]*(1-$N$6)</f>
        <v>1007000</v>
      </c>
      <c r="O9" s="10">
        <f ca="1">MasterList[[#This Row],[Money
 Multiple]]^(1/MasterList[[#This Row],[Yrs Inventory]])-1</f>
        <v>4.1017617342555379E-2</v>
      </c>
      <c r="P9" s="9">
        <f>MasterList[[#This Row],[Est Net Sales Proceeds]]/SUM(MasterList[[#This Row],[Purchase Price]:[Improvements]])</f>
        <v>1.1188888888888888</v>
      </c>
      <c r="Q9" s="9" t="b">
        <f>IF(OR(ISBLANK(MasterList[[#This Row],[Sales Date]]),ISTEXT(MasterList[[#This Row],[Sales Date]])),FALSE, TRUE)</f>
        <v>0</v>
      </c>
      <c r="R9" t="s">
        <v>51</v>
      </c>
    </row>
    <row r="10" spans="2:19">
      <c r="B10" t="s">
        <v>50</v>
      </c>
      <c r="C10" s="4">
        <v>44287</v>
      </c>
      <c r="D10" s="5">
        <f>YEAR(MasterList[[#This Row],[Purchase Date]])</f>
        <v>2021</v>
      </c>
      <c r="E10" s="6">
        <v>655000</v>
      </c>
      <c r="F10" s="6">
        <v>145000</v>
      </c>
      <c r="G10" s="6">
        <f>SUM(MasterList[[#This Row],[Purchase Price]:[Improvements]])</f>
        <v>800000</v>
      </c>
      <c r="H10" s="7"/>
      <c r="I10" s="28">
        <f>YEAR(MasterList[[#This Row],[Sales Date]])</f>
        <v>1900</v>
      </c>
      <c r="J10" s="11">
        <v>1650000</v>
      </c>
      <c r="K10" s="5">
        <f ca="1">MasterList[[#This Row],[Total Investment]]*(1+MasterList[[#This Row],[Deal Level 
IRR]])^(MasterList[[#This Row],[Days Inventory]]/365)</f>
        <v>1567500.0000000002</v>
      </c>
      <c r="L10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1050</v>
      </c>
      <c r="M10" s="6">
        <f ca="1">MasterList[[#This Row],[Days Inventory]]/365</f>
        <v>2.8767123287671232</v>
      </c>
      <c r="N10" s="6">
        <f>MasterList[[#This Row],[Sales Price or MV]]*(1-$N$6)</f>
        <v>1567500</v>
      </c>
      <c r="O10" s="10">
        <f ca="1">MasterList[[#This Row],[Money
 Multiple]]^(1/MasterList[[#This Row],[Yrs Inventory]])-1</f>
        <v>0.26341383660359541</v>
      </c>
      <c r="P10" s="9">
        <f>MasterList[[#This Row],[Est Net Sales Proceeds]]/SUM(MasterList[[#This Row],[Purchase Price]:[Improvements]])</f>
        <v>1.9593750000000001</v>
      </c>
      <c r="Q10" s="9" t="b">
        <f>IF(OR(ISBLANK(MasterList[[#This Row],[Sales Date]]),ISTEXT(MasterList[[#This Row],[Sales Date]])),FALSE, TRUE)</f>
        <v>0</v>
      </c>
    </row>
    <row r="11" spans="2:19">
      <c r="B11" t="s">
        <v>50</v>
      </c>
      <c r="C11" s="4">
        <v>42948</v>
      </c>
      <c r="D11" s="5">
        <f>YEAR(MasterList[[#This Row],[Purchase Date]])</f>
        <v>2017</v>
      </c>
      <c r="E11" s="6">
        <v>88246.41</v>
      </c>
      <c r="F11" s="6">
        <v>172468.14</v>
      </c>
      <c r="G11" s="6">
        <f>SUM(MasterList[[#This Row],[Purchase Price]:[Improvements]])</f>
        <v>260714.55000000002</v>
      </c>
      <c r="H11" s="8"/>
      <c r="I11" s="28">
        <f>YEAR(MasterList[[#This Row],[Sales Date]])</f>
        <v>1900</v>
      </c>
      <c r="J11" s="11">
        <v>375000</v>
      </c>
      <c r="K11" s="5">
        <f ca="1">MasterList[[#This Row],[Total Investment]]*(1+MasterList[[#This Row],[Deal Level 
IRR]])^(MasterList[[#This Row],[Days Inventory]]/365)</f>
        <v>356250.00000000012</v>
      </c>
      <c r="L11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2389</v>
      </c>
      <c r="M11" s="6">
        <f ca="1">MasterList[[#This Row],[Days Inventory]]/365</f>
        <v>6.5452054794520551</v>
      </c>
      <c r="N11" s="6">
        <f>MasterList[[#This Row],[Sales Price or MV]]*(1-$N$6)</f>
        <v>356250</v>
      </c>
      <c r="O11" s="10">
        <f ca="1">MasterList[[#This Row],[Money
 Multiple]]^(1/MasterList[[#This Row],[Yrs Inventory]])-1</f>
        <v>4.8855999338692335E-2</v>
      </c>
      <c r="P11" s="9">
        <f>MasterList[[#This Row],[Est Net Sales Proceeds]]/SUM(MasterList[[#This Row],[Purchase Price]:[Improvements]])</f>
        <v>1.3664369710090978</v>
      </c>
      <c r="Q11" s="9" t="b">
        <f>IF(OR(ISBLANK(MasterList[[#This Row],[Sales Date]]),ISTEXT(MasterList[[#This Row],[Sales Date]])),FALSE, TRUE)</f>
        <v>0</v>
      </c>
    </row>
    <row r="12" spans="2:19">
      <c r="B12" t="s">
        <v>50</v>
      </c>
      <c r="C12" s="4">
        <v>43070</v>
      </c>
      <c r="D12" s="5">
        <f>YEAR(MasterList[[#This Row],[Purchase Date]])</f>
        <v>2017</v>
      </c>
      <c r="E12" s="6">
        <v>93266.5</v>
      </c>
      <c r="F12" s="6">
        <v>79583.429999999993</v>
      </c>
      <c r="G12" s="6">
        <f>SUM(MasterList[[#This Row],[Purchase Price]:[Improvements]])</f>
        <v>172849.93</v>
      </c>
      <c r="H12" s="8"/>
      <c r="I12" s="28">
        <f>YEAR(MasterList[[#This Row],[Sales Date]])</f>
        <v>1900</v>
      </c>
      <c r="J12" s="11">
        <v>325000</v>
      </c>
      <c r="K12" s="5">
        <f ca="1">MasterList[[#This Row],[Total Investment]]*(1+MasterList[[#This Row],[Deal Level 
IRR]])^(MasterList[[#This Row],[Days Inventory]]/365)</f>
        <v>308750.00000000012</v>
      </c>
      <c r="L12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2267</v>
      </c>
      <c r="M12" s="6">
        <f ca="1">MasterList[[#This Row],[Days Inventory]]/365</f>
        <v>6.2109589041095887</v>
      </c>
      <c r="N12" s="6">
        <f>MasterList[[#This Row],[Sales Price or MV]]*(1-$N$6)</f>
        <v>308750</v>
      </c>
      <c r="O12" s="10">
        <f ca="1">MasterList[[#This Row],[Money
 Multiple]]^(1/MasterList[[#This Row],[Yrs Inventory]])-1</f>
        <v>9.7901614701961126E-2</v>
      </c>
      <c r="P12" s="9">
        <f>MasterList[[#This Row],[Est Net Sales Proceeds]]/SUM(MasterList[[#This Row],[Purchase Price]:[Improvements]])</f>
        <v>1.7862315593648201</v>
      </c>
      <c r="Q12" s="9" t="b">
        <f>IF(OR(ISBLANK(MasterList[[#This Row],[Sales Date]]),ISTEXT(MasterList[[#This Row],[Sales Date]])),FALSE, TRUE)</f>
        <v>0</v>
      </c>
    </row>
    <row r="13" spans="2:19">
      <c r="B13" t="s">
        <v>50</v>
      </c>
      <c r="C13" s="4">
        <v>44050</v>
      </c>
      <c r="D13" s="5">
        <f>YEAR(MasterList[[#This Row],[Purchase Date]])</f>
        <v>2020</v>
      </c>
      <c r="E13" s="6">
        <v>626000</v>
      </c>
      <c r="F13" s="6"/>
      <c r="G13" s="6">
        <f>SUM(MasterList[[#This Row],[Purchase Price]:[Improvements]])</f>
        <v>626000</v>
      </c>
      <c r="H13" s="7">
        <v>44596</v>
      </c>
      <c r="I13" s="28">
        <f>YEAR(MasterList[[#This Row],[Sales Date]])</f>
        <v>2022</v>
      </c>
      <c r="J13" s="11">
        <v>865000</v>
      </c>
      <c r="K13" s="5">
        <f ca="1">MasterList[[#This Row],[Total Investment]]*(1+MasterList[[#This Row],[Deal Level 
IRR]])^(MasterList[[#This Row],[Days Inventory]]/365)</f>
        <v>821749.99999999988</v>
      </c>
      <c r="L13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546</v>
      </c>
      <c r="M13" s="6">
        <f ca="1">MasterList[[#This Row],[Days Inventory]]/365</f>
        <v>1.4958904109589042</v>
      </c>
      <c r="N13" s="6">
        <f>MasterList[[#This Row],[Sales Price or MV]]*(1-$N$6)</f>
        <v>821750</v>
      </c>
      <c r="O13" s="10">
        <f ca="1">MasterList[[#This Row],[Money
 Multiple]]^(1/MasterList[[#This Row],[Yrs Inventory]])-1</f>
        <v>0.19948090816881447</v>
      </c>
      <c r="P13" s="9">
        <f>MasterList[[#This Row],[Est Net Sales Proceeds]]/SUM(MasterList[[#This Row],[Purchase Price]:[Improvements]])</f>
        <v>1.3126996805111821</v>
      </c>
      <c r="Q13" s="9" t="b">
        <f>IF(OR(ISBLANK(MasterList[[#This Row],[Sales Date]]),ISTEXT(MasterList[[#This Row],[Sales Date]])),FALSE, TRUE)</f>
        <v>1</v>
      </c>
    </row>
    <row r="14" spans="2:19">
      <c r="B14" t="s">
        <v>50</v>
      </c>
      <c r="C14" s="4">
        <v>43308</v>
      </c>
      <c r="D14" s="5">
        <f>YEAR(MasterList[[#This Row],[Purchase Date]])</f>
        <v>2018</v>
      </c>
      <c r="E14" s="19">
        <v>606000</v>
      </c>
      <c r="F14" s="6"/>
      <c r="G14" s="6">
        <f>SUM(MasterList[[#This Row],[Purchase Price]:[Improvements]])</f>
        <v>606000</v>
      </c>
      <c r="H14" s="4">
        <v>44159</v>
      </c>
      <c r="I14" s="6">
        <f>YEAR(MasterList[[#This Row],[Sales Date]])</f>
        <v>2020</v>
      </c>
      <c r="J14" s="11">
        <f>545000</f>
        <v>545000</v>
      </c>
      <c r="K14" s="5">
        <f ca="1">MasterList[[#This Row],[Total Investment]]*(1+MasterList[[#This Row],[Deal Level 
IRR]])^(MasterList[[#This Row],[Days Inventory]]/365)</f>
        <v>517750.00000000006</v>
      </c>
      <c r="L14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851</v>
      </c>
      <c r="M14" s="6">
        <f ca="1">MasterList[[#This Row],[Days Inventory]]/365</f>
        <v>2.3315068493150686</v>
      </c>
      <c r="N14" s="6">
        <f>MasterList[[#This Row],[Sales Price or MV]]*(1-$N$6)</f>
        <v>517750</v>
      </c>
      <c r="O14" s="10">
        <f ca="1">MasterList[[#This Row],[Money
 Multiple]]^(1/MasterList[[#This Row],[Yrs Inventory]])-1</f>
        <v>-6.5276598579081191E-2</v>
      </c>
      <c r="P14" s="9">
        <f>MasterList[[#This Row],[Est Net Sales Proceeds]]/SUM(MasterList[[#This Row],[Purchase Price]:[Improvements]])</f>
        <v>0.85437293729372932</v>
      </c>
      <c r="Q14" s="9" t="b">
        <f>IF(OR(ISBLANK(MasterList[[#This Row],[Sales Date]]),ISTEXT(MasterList[[#This Row],[Sales Date]])),FALSE, TRUE)</f>
        <v>1</v>
      </c>
    </row>
    <row r="15" spans="2:19">
      <c r="B15" t="s">
        <v>50</v>
      </c>
      <c r="C15" s="4">
        <v>42979</v>
      </c>
      <c r="D15" s="5">
        <f>YEAR(MasterList[[#This Row],[Purchase Date]])</f>
        <v>2017</v>
      </c>
      <c r="E15" s="6">
        <v>134800</v>
      </c>
      <c r="F15" s="6">
        <v>0</v>
      </c>
      <c r="G15" s="6">
        <f>SUM(MasterList[[#This Row],[Purchase Price]:[Improvements]])</f>
        <v>134800</v>
      </c>
      <c r="H15" s="8"/>
      <c r="I15" s="28">
        <f>YEAR(MasterList[[#This Row],[Sales Date]])</f>
        <v>1900</v>
      </c>
      <c r="J15" s="11">
        <v>265000</v>
      </c>
      <c r="K15" s="5">
        <f ca="1">MasterList[[#This Row],[Total Investment]]*(1+MasterList[[#This Row],[Deal Level 
IRR]])^(MasterList[[#This Row],[Days Inventory]]/365)</f>
        <v>251749.99999999985</v>
      </c>
      <c r="L15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2358</v>
      </c>
      <c r="M15" s="6">
        <f ca="1">MasterList[[#This Row],[Days Inventory]]/365</f>
        <v>6.4602739726027396</v>
      </c>
      <c r="N15" s="6">
        <f>MasterList[[#This Row],[Sales Price or MV]]*(1-$N$6)</f>
        <v>251750</v>
      </c>
      <c r="O15" s="10">
        <f ca="1">MasterList[[#This Row],[Money
 Multiple]]^(1/MasterList[[#This Row],[Yrs Inventory]])-1</f>
        <v>0.10151892532896944</v>
      </c>
      <c r="P15" s="9">
        <f>MasterList[[#This Row],[Est Net Sales Proceeds]]/SUM(MasterList[[#This Row],[Purchase Price]:[Improvements]])</f>
        <v>1.8675816023738872</v>
      </c>
      <c r="Q15" s="9" t="b">
        <f>IF(OR(ISBLANK(MasterList[[#This Row],[Sales Date]]),ISTEXT(MasterList[[#This Row],[Sales Date]])),FALSE, TRUE)</f>
        <v>0</v>
      </c>
    </row>
    <row r="16" spans="2:19">
      <c r="B16" t="s">
        <v>50</v>
      </c>
      <c r="C16" s="4">
        <v>42948</v>
      </c>
      <c r="D16" s="5">
        <f>YEAR(MasterList[[#This Row],[Purchase Date]])</f>
        <v>2017</v>
      </c>
      <c r="E16" s="6">
        <v>61020.61</v>
      </c>
      <c r="F16" s="6">
        <v>62656.98</v>
      </c>
      <c r="G16" s="6">
        <f>SUM(MasterList[[#This Row],[Purchase Price]:[Improvements]])</f>
        <v>123677.59</v>
      </c>
      <c r="H16" s="8"/>
      <c r="I16" s="28">
        <f>YEAR(MasterList[[#This Row],[Sales Date]])</f>
        <v>1900</v>
      </c>
      <c r="J16" s="11">
        <v>250000</v>
      </c>
      <c r="K16" s="5">
        <f ca="1">MasterList[[#This Row],[Total Investment]]*(1+MasterList[[#This Row],[Deal Level 
IRR]])^(MasterList[[#This Row],[Days Inventory]]/365)</f>
        <v>237499.99999999988</v>
      </c>
      <c r="L16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2389</v>
      </c>
      <c r="M16" s="6">
        <f ca="1">MasterList[[#This Row],[Days Inventory]]/365</f>
        <v>6.5452054794520551</v>
      </c>
      <c r="N16" s="6">
        <f>MasterList[[#This Row],[Sales Price or MV]]*(1-$N$6)</f>
        <v>237500</v>
      </c>
      <c r="O16" s="10">
        <f ca="1">MasterList[[#This Row],[Money
 Multiple]]^(1/MasterList[[#This Row],[Yrs Inventory]])-1</f>
        <v>0.10482802896062471</v>
      </c>
      <c r="P16" s="9">
        <f>MasterList[[#This Row],[Est Net Sales Proceeds]]/SUM(MasterList[[#This Row],[Purchase Price]:[Improvements]])</f>
        <v>1.9203155559548015</v>
      </c>
      <c r="Q16" s="9" t="b">
        <f>IF(OR(ISBLANK(MasterList[[#This Row],[Sales Date]]),ISTEXT(MasterList[[#This Row],[Sales Date]])),FALSE, TRUE)</f>
        <v>0</v>
      </c>
    </row>
    <row r="17" spans="2:18">
      <c r="B17" t="s">
        <v>50</v>
      </c>
      <c r="C17" s="4">
        <v>43739</v>
      </c>
      <c r="D17" s="35">
        <f>YEAR(MasterList[[#This Row],[Purchase Date]])</f>
        <v>2019</v>
      </c>
      <c r="E17" s="27">
        <v>442000</v>
      </c>
      <c r="F17" s="27"/>
      <c r="G17" s="27">
        <f>SUM(MasterList[[#This Row],[Purchase Price]:[Improvements]])</f>
        <v>442000</v>
      </c>
      <c r="H17" s="7"/>
      <c r="I17" s="29">
        <f>YEAR(MasterList[[#This Row],[Sales Date]])</f>
        <v>1900</v>
      </c>
      <c r="J17" s="34">
        <v>598000</v>
      </c>
      <c r="K17" s="35">
        <f ca="1">MasterList[[#This Row],[Total Investment]]*(1+MasterList[[#This Row],[Deal Level 
IRR]])^(MasterList[[#This Row],[Days Inventory]]/365)</f>
        <v>568100</v>
      </c>
      <c r="L17" s="27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1598</v>
      </c>
      <c r="M17" s="27">
        <f ca="1">MasterList[[#This Row],[Days Inventory]]/365</f>
        <v>4.3780821917808215</v>
      </c>
      <c r="N17" s="27">
        <f>MasterList[[#This Row],[Sales Price or MV]]*(1-$N$6)</f>
        <v>568100</v>
      </c>
      <c r="O17" s="13">
        <f ca="1">MasterList[[#This Row],[Money
 Multiple]]^(1/MasterList[[#This Row],[Yrs Inventory]])-1</f>
        <v>5.9003319701524948E-2</v>
      </c>
      <c r="P17" s="9">
        <f>MasterList[[#This Row],[Est Net Sales Proceeds]]/SUM(MasterList[[#This Row],[Purchase Price]:[Improvements]])</f>
        <v>1.2852941176470589</v>
      </c>
      <c r="Q17" s="9" t="b">
        <f>IF(OR(ISBLANK(MasterList[[#This Row],[Sales Date]]),ISTEXT(MasterList[[#This Row],[Sales Date]])),FALSE, TRUE)</f>
        <v>0</v>
      </c>
    </row>
    <row r="18" spans="2:18">
      <c r="B18" t="s">
        <v>50</v>
      </c>
      <c r="C18" s="4">
        <v>44690</v>
      </c>
      <c r="D18" s="5">
        <f>YEAR(MasterList[[#This Row],[Purchase Date]])</f>
        <v>2022</v>
      </c>
      <c r="E18" s="6">
        <v>564873.36</v>
      </c>
      <c r="F18" s="6">
        <v>16373.34</v>
      </c>
      <c r="G18" s="6">
        <f>SUM(MasterList[[#This Row],[Purchase Price]:[Improvements]])</f>
        <v>581246.69999999995</v>
      </c>
      <c r="H18" s="7">
        <v>44736</v>
      </c>
      <c r="I18" s="28">
        <f>YEAR(MasterList[[#This Row],[Sales Date]])</f>
        <v>2022</v>
      </c>
      <c r="J18" s="11">
        <v>622958.07999999996</v>
      </c>
      <c r="K18" s="5">
        <f ca="1">MasterList[[#This Row],[Total Investment]]*(1+MasterList[[#This Row],[Deal Level 
IRR]])^(MasterList[[#This Row],[Days Inventory]]/365)</f>
        <v>591810.17599999998</v>
      </c>
      <c r="L18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46</v>
      </c>
      <c r="M18" s="6">
        <f ca="1">MasterList[[#This Row],[Days Inventory]]/365</f>
        <v>0.12602739726027398</v>
      </c>
      <c r="N18" s="6">
        <f>MasterList[[#This Row],[Sales Price or MV]]*(1-$N$6)</f>
        <v>591810.17599999998</v>
      </c>
      <c r="O18" s="10">
        <f ca="1">MasterList[[#This Row],[Money
 Multiple]]^(1/MasterList[[#This Row],[Yrs Inventory]])-1</f>
        <v>0.15362670303173775</v>
      </c>
      <c r="P18" s="9">
        <f>MasterList[[#This Row],[Est Net Sales Proceeds]]/SUM(MasterList[[#This Row],[Purchase Price]:[Improvements]])</f>
        <v>1.0181738253309653</v>
      </c>
      <c r="Q18" s="9" t="b">
        <f>IF(OR(ISBLANK(MasterList[[#This Row],[Sales Date]]),ISTEXT(MasterList[[#This Row],[Sales Date]])),FALSE, TRUE)</f>
        <v>1</v>
      </c>
    </row>
    <row r="19" spans="2:18">
      <c r="B19" t="s">
        <v>50</v>
      </c>
      <c r="C19" s="4">
        <v>43615</v>
      </c>
      <c r="D19" s="5">
        <f>YEAR(MasterList[[#This Row],[Purchase Date]])</f>
        <v>2019</v>
      </c>
      <c r="E19" s="19">
        <v>494000</v>
      </c>
      <c r="F19" s="6"/>
      <c r="G19" s="6">
        <f>SUM(MasterList[[#This Row],[Purchase Price]:[Improvements]])</f>
        <v>494000</v>
      </c>
      <c r="H19" s="4">
        <v>43742</v>
      </c>
      <c r="I19" s="6">
        <f>YEAR(MasterList[[#This Row],[Sales Date]])</f>
        <v>2019</v>
      </c>
      <c r="J19" s="11">
        <f>525000</f>
        <v>525000</v>
      </c>
      <c r="K19" s="5">
        <f ca="1">MasterList[[#This Row],[Total Investment]]*(1+MasterList[[#This Row],[Deal Level 
IRR]])^(MasterList[[#This Row],[Days Inventory]]/365)</f>
        <v>498750</v>
      </c>
      <c r="L19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127</v>
      </c>
      <c r="M19" s="6">
        <f ca="1">MasterList[[#This Row],[Days Inventory]]/365</f>
        <v>0.34794520547945207</v>
      </c>
      <c r="N19" s="6">
        <f>MasterList[[#This Row],[Sales Price or MV]]*(1-$N$6)</f>
        <v>498750</v>
      </c>
      <c r="O19" s="10">
        <f ca="1">MasterList[[#This Row],[Money
 Multiple]]^(1/MasterList[[#This Row],[Yrs Inventory]])-1</f>
        <v>2.788444478744867E-2</v>
      </c>
      <c r="P19" s="9">
        <f>MasterList[[#This Row],[Est Net Sales Proceeds]]/SUM(MasterList[[#This Row],[Purchase Price]:[Improvements]])</f>
        <v>1.0096153846153846</v>
      </c>
      <c r="Q19" s="9" t="b">
        <f>IF(OR(ISBLANK(MasterList[[#This Row],[Sales Date]]),ISTEXT(MasterList[[#This Row],[Sales Date]])),FALSE, TRUE)</f>
        <v>1</v>
      </c>
    </row>
    <row r="20" spans="2:18">
      <c r="B20" t="s">
        <v>50</v>
      </c>
      <c r="C20" s="4">
        <v>43332</v>
      </c>
      <c r="D20" s="5">
        <f>YEAR(MasterList[[#This Row],[Purchase Date]])</f>
        <v>2018</v>
      </c>
      <c r="E20" s="6">
        <v>333000</v>
      </c>
      <c r="F20" s="6"/>
      <c r="G20" s="6">
        <f>SUM(MasterList[[#This Row],[Purchase Price]:[Improvements]])</f>
        <v>333000</v>
      </c>
      <c r="H20" s="7"/>
      <c r="I20" s="28">
        <f>YEAR(MasterList[[#This Row],[Sales Date]])</f>
        <v>1900</v>
      </c>
      <c r="J20" s="11">
        <v>450000</v>
      </c>
      <c r="K20" s="5">
        <f ca="1">MasterList[[#This Row],[Total Investment]]*(1+MasterList[[#This Row],[Deal Level 
IRR]])^(MasterList[[#This Row],[Days Inventory]]/365)</f>
        <v>427499.99999999983</v>
      </c>
      <c r="L20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2005</v>
      </c>
      <c r="M20" s="6">
        <f ca="1">MasterList[[#This Row],[Days Inventory]]/365</f>
        <v>5.493150684931507</v>
      </c>
      <c r="N20" s="6">
        <f>MasterList[[#This Row],[Sales Price or MV]]*(1-$N$6)</f>
        <v>427500</v>
      </c>
      <c r="O20" s="10">
        <f ca="1">MasterList[[#This Row],[Money
 Multiple]]^(1/MasterList[[#This Row],[Yrs Inventory]])-1</f>
        <v>4.6526893199370312E-2</v>
      </c>
      <c r="P20" s="9">
        <f>MasterList[[#This Row],[Est Net Sales Proceeds]]/SUM(MasterList[[#This Row],[Purchase Price]:[Improvements]])</f>
        <v>1.2837837837837838</v>
      </c>
      <c r="Q20" s="9" t="b">
        <f>IF(OR(ISBLANK(MasterList[[#This Row],[Sales Date]]),ISTEXT(MasterList[[#This Row],[Sales Date]])),FALSE, TRUE)</f>
        <v>0</v>
      </c>
    </row>
    <row r="21" spans="2:18">
      <c r="B21" t="s">
        <v>50</v>
      </c>
      <c r="C21" s="4">
        <v>43294</v>
      </c>
      <c r="D21" s="5">
        <f>YEAR(MasterList[[#This Row],[Purchase Date]])</f>
        <v>2018</v>
      </c>
      <c r="E21" s="6">
        <v>326000</v>
      </c>
      <c r="F21" s="6"/>
      <c r="G21" s="6">
        <f>SUM(MasterList[[#This Row],[Purchase Price]:[Improvements]])</f>
        <v>326000</v>
      </c>
      <c r="H21" s="7"/>
      <c r="I21" s="28">
        <f>YEAR(MasterList[[#This Row],[Sales Date]])</f>
        <v>1900</v>
      </c>
      <c r="J21" s="11">
        <v>450000</v>
      </c>
      <c r="K21" s="5">
        <f ca="1">MasterList[[#This Row],[Total Investment]]*(1+MasterList[[#This Row],[Deal Level 
IRR]])^(MasterList[[#This Row],[Days Inventory]]/365)</f>
        <v>427500.00000000023</v>
      </c>
      <c r="L21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2043</v>
      </c>
      <c r="M21" s="6">
        <f ca="1">MasterList[[#This Row],[Days Inventory]]/365</f>
        <v>5.5972602739726032</v>
      </c>
      <c r="N21" s="6">
        <f>MasterList[[#This Row],[Sales Price or MV]]*(1-$N$6)</f>
        <v>427500</v>
      </c>
      <c r="O21" s="10">
        <f ca="1">MasterList[[#This Row],[Money
 Multiple]]^(1/MasterList[[#This Row],[Yrs Inventory]])-1</f>
        <v>4.961844376478286E-2</v>
      </c>
      <c r="P21" s="9">
        <f>MasterList[[#This Row],[Est Net Sales Proceeds]]/SUM(MasterList[[#This Row],[Purchase Price]:[Improvements]])</f>
        <v>1.3113496932515338</v>
      </c>
      <c r="Q21" s="9" t="b">
        <f>IF(OR(ISBLANK(MasterList[[#This Row],[Sales Date]]),ISTEXT(MasterList[[#This Row],[Sales Date]])),FALSE, TRUE)</f>
        <v>0</v>
      </c>
    </row>
    <row r="22" spans="2:18">
      <c r="B22" t="s">
        <v>50</v>
      </c>
      <c r="C22" s="4">
        <v>43474</v>
      </c>
      <c r="D22" s="5">
        <f>YEAR(MasterList[[#This Row],[Purchase Date]])</f>
        <v>2019</v>
      </c>
      <c r="E22" s="19">
        <v>415000</v>
      </c>
      <c r="F22" s="6"/>
      <c r="G22" s="6">
        <f>SUM(MasterList[[#This Row],[Purchase Price]:[Improvements]])</f>
        <v>415000</v>
      </c>
      <c r="H22" s="4">
        <v>43955</v>
      </c>
      <c r="I22" s="6">
        <f>YEAR(MasterList[[#This Row],[Sales Date]])</f>
        <v>2020</v>
      </c>
      <c r="J22" s="11">
        <f>468500</f>
        <v>468500</v>
      </c>
      <c r="K22" s="5">
        <f ca="1">MasterList[[#This Row],[Total Investment]]*(1+MasterList[[#This Row],[Deal Level 
IRR]])^(MasterList[[#This Row],[Days Inventory]]/365)</f>
        <v>445075</v>
      </c>
      <c r="L22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481</v>
      </c>
      <c r="M22" s="6">
        <f ca="1">MasterList[[#This Row],[Days Inventory]]/365</f>
        <v>1.3178082191780822</v>
      </c>
      <c r="N22" s="6">
        <f>MasterList[[#This Row],[Sales Price or MV]]*(1-$N$6)</f>
        <v>445075</v>
      </c>
      <c r="O22" s="10">
        <f ca="1">MasterList[[#This Row],[Money
 Multiple]]^(1/MasterList[[#This Row],[Yrs Inventory]])-1</f>
        <v>5.4526027412231004E-2</v>
      </c>
      <c r="P22" s="9">
        <f>MasterList[[#This Row],[Est Net Sales Proceeds]]/SUM(MasterList[[#This Row],[Purchase Price]:[Improvements]])</f>
        <v>1.0724698795180723</v>
      </c>
      <c r="Q22" s="9" t="b">
        <f>IF(OR(ISBLANK(MasterList[[#This Row],[Sales Date]]),ISTEXT(MasterList[[#This Row],[Sales Date]])),FALSE, TRUE)</f>
        <v>1</v>
      </c>
    </row>
    <row r="23" spans="2:18">
      <c r="B23" t="s">
        <v>50</v>
      </c>
      <c r="C23" s="4">
        <v>43697</v>
      </c>
      <c r="D23" s="5">
        <f>YEAR(MasterList[[#This Row],[Purchase Date]])</f>
        <v>2019</v>
      </c>
      <c r="E23" s="19">
        <v>388000</v>
      </c>
      <c r="F23" s="6"/>
      <c r="G23" s="6">
        <f>SUM(MasterList[[#This Row],[Purchase Price]:[Improvements]])</f>
        <v>388000</v>
      </c>
      <c r="H23" s="4">
        <v>43934</v>
      </c>
      <c r="I23" s="6">
        <f>YEAR(MasterList[[#This Row],[Sales Date]])</f>
        <v>2020</v>
      </c>
      <c r="J23" s="11">
        <f>411500</f>
        <v>411500</v>
      </c>
      <c r="K23" s="5">
        <f ca="1">MasterList[[#This Row],[Total Investment]]*(1+MasterList[[#This Row],[Deal Level 
IRR]])^(MasterList[[#This Row],[Days Inventory]]/365)</f>
        <v>390925.00000000006</v>
      </c>
      <c r="L23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237</v>
      </c>
      <c r="M23" s="6">
        <f ca="1">MasterList[[#This Row],[Days Inventory]]/365</f>
        <v>0.64931506849315068</v>
      </c>
      <c r="N23" s="6">
        <f>MasterList[[#This Row],[Sales Price or MV]]*(1-$N$6)</f>
        <v>390925</v>
      </c>
      <c r="O23" s="10">
        <f ca="1">MasterList[[#This Row],[Money
 Multiple]]^(1/MasterList[[#This Row],[Yrs Inventory]])-1</f>
        <v>1.163378049579622E-2</v>
      </c>
      <c r="P23" s="9">
        <f>MasterList[[#This Row],[Est Net Sales Proceeds]]/SUM(MasterList[[#This Row],[Purchase Price]:[Improvements]])</f>
        <v>1.0075386597938145</v>
      </c>
      <c r="Q23" s="9" t="b">
        <f>IF(OR(ISBLANK(MasterList[[#This Row],[Sales Date]]),ISTEXT(MasterList[[#This Row],[Sales Date]])),FALSE, TRUE)</f>
        <v>1</v>
      </c>
      <c r="R23" t="s">
        <v>52</v>
      </c>
    </row>
    <row r="24" spans="2:18">
      <c r="B24" t="s">
        <v>50</v>
      </c>
      <c r="C24" s="4">
        <v>43332</v>
      </c>
      <c r="D24" s="5">
        <f>YEAR(MasterList[[#This Row],[Purchase Date]])</f>
        <v>2018</v>
      </c>
      <c r="E24" s="6">
        <v>321000</v>
      </c>
      <c r="F24" s="6"/>
      <c r="G24" s="6">
        <f>SUM(MasterList[[#This Row],[Purchase Price]:[Improvements]])</f>
        <v>321000</v>
      </c>
      <c r="H24" s="7"/>
      <c r="I24" s="28">
        <f>YEAR(MasterList[[#This Row],[Sales Date]])</f>
        <v>1900</v>
      </c>
      <c r="J24" s="11">
        <v>450000</v>
      </c>
      <c r="K24" s="5">
        <f ca="1">MasterList[[#This Row],[Total Investment]]*(1+MasterList[[#This Row],[Deal Level 
IRR]])^(MasterList[[#This Row],[Days Inventory]]/365)</f>
        <v>427499.99999999977</v>
      </c>
      <c r="L24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2005</v>
      </c>
      <c r="M24" s="6">
        <f ca="1">MasterList[[#This Row],[Days Inventory]]/365</f>
        <v>5.493150684931507</v>
      </c>
      <c r="N24" s="6">
        <f>MasterList[[#This Row],[Sales Price or MV]]*(1-$N$6)</f>
        <v>427500</v>
      </c>
      <c r="O24" s="10">
        <f ca="1">MasterList[[#This Row],[Money
 Multiple]]^(1/MasterList[[#This Row],[Yrs Inventory]])-1</f>
        <v>5.3542459805794307E-2</v>
      </c>
      <c r="P24" s="9">
        <f>MasterList[[#This Row],[Est Net Sales Proceeds]]/SUM(MasterList[[#This Row],[Purchase Price]:[Improvements]])</f>
        <v>1.3317757009345794</v>
      </c>
      <c r="Q24" s="9" t="b">
        <f>IF(OR(ISBLANK(MasterList[[#This Row],[Sales Date]]),ISTEXT(MasterList[[#This Row],[Sales Date]])),FALSE, TRUE)</f>
        <v>0</v>
      </c>
    </row>
    <row r="25" spans="2:18">
      <c r="B25" t="s">
        <v>50</v>
      </c>
      <c r="C25" s="4">
        <v>43280</v>
      </c>
      <c r="D25" s="5">
        <f>YEAR(MasterList[[#This Row],[Purchase Date]])</f>
        <v>2018</v>
      </c>
      <c r="E25" s="6">
        <v>297000</v>
      </c>
      <c r="F25" s="6"/>
      <c r="G25" s="6">
        <f>SUM(MasterList[[#This Row],[Purchase Price]:[Improvements]])</f>
        <v>297000</v>
      </c>
      <c r="H25" s="7"/>
      <c r="I25" s="28">
        <f>YEAR(MasterList[[#This Row],[Sales Date]])</f>
        <v>1900</v>
      </c>
      <c r="J25" s="11">
        <v>425000</v>
      </c>
      <c r="K25" s="5">
        <f ca="1">MasterList[[#This Row],[Total Investment]]*(1+MasterList[[#This Row],[Deal Level 
IRR]])^(MasterList[[#This Row],[Days Inventory]]/365)</f>
        <v>403750.00000000006</v>
      </c>
      <c r="L25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2057</v>
      </c>
      <c r="M25" s="6">
        <f ca="1">MasterList[[#This Row],[Days Inventory]]/365</f>
        <v>5.6356164383561644</v>
      </c>
      <c r="N25" s="6">
        <f>MasterList[[#This Row],[Sales Price or MV]]*(1-$N$6)</f>
        <v>403750</v>
      </c>
      <c r="O25" s="10">
        <f ca="1">MasterList[[#This Row],[Money
 Multiple]]^(1/MasterList[[#This Row],[Yrs Inventory]])-1</f>
        <v>5.5997980620697607E-2</v>
      </c>
      <c r="P25" s="9">
        <f>MasterList[[#This Row],[Est Net Sales Proceeds]]/SUM(MasterList[[#This Row],[Purchase Price]:[Improvements]])</f>
        <v>1.3594276094276094</v>
      </c>
      <c r="Q25" s="9" t="b">
        <f>IF(OR(ISBLANK(MasterList[[#This Row],[Sales Date]]),ISTEXT(MasterList[[#This Row],[Sales Date]])),FALSE, TRUE)</f>
        <v>0</v>
      </c>
    </row>
    <row r="26" spans="2:18">
      <c r="B26" t="s">
        <v>50</v>
      </c>
      <c r="C26" s="4">
        <v>43580</v>
      </c>
      <c r="D26" s="5">
        <f>YEAR(MasterList[[#This Row],[Purchase Date]])</f>
        <v>2019</v>
      </c>
      <c r="E26" s="6">
        <v>241000</v>
      </c>
      <c r="F26" s="6"/>
      <c r="G26" s="6">
        <f>SUM(MasterList[[#This Row],[Purchase Price]:[Improvements]])</f>
        <v>241000</v>
      </c>
      <c r="H26" s="7"/>
      <c r="I26" s="28">
        <f>YEAR(MasterList[[#This Row],[Sales Date]])</f>
        <v>1900</v>
      </c>
      <c r="J26" s="11">
        <v>325000</v>
      </c>
      <c r="K26" s="5">
        <f ca="1">MasterList[[#This Row],[Total Investment]]*(1+MasterList[[#This Row],[Deal Level 
IRR]])^(MasterList[[#This Row],[Days Inventory]]/365)</f>
        <v>308749.99999999983</v>
      </c>
      <c r="L26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1757</v>
      </c>
      <c r="M26" s="6">
        <f ca="1">MasterList[[#This Row],[Days Inventory]]/365</f>
        <v>4.8136986301369866</v>
      </c>
      <c r="N26" s="6">
        <f>MasterList[[#This Row],[Sales Price or MV]]*(1-$N$6)</f>
        <v>308750</v>
      </c>
      <c r="O26" s="10">
        <f ca="1">MasterList[[#This Row],[Money
 Multiple]]^(1/MasterList[[#This Row],[Yrs Inventory]])-1</f>
        <v>5.2811889830133962E-2</v>
      </c>
      <c r="P26" s="9">
        <f>MasterList[[#This Row],[Est Net Sales Proceeds]]/SUM(MasterList[[#This Row],[Purchase Price]:[Improvements]])</f>
        <v>1.2811203319502074</v>
      </c>
      <c r="Q26" s="9" t="b">
        <f>IF(OR(ISBLANK(MasterList[[#This Row],[Sales Date]]),ISTEXT(MasterList[[#This Row],[Sales Date]])),FALSE, TRUE)</f>
        <v>0</v>
      </c>
    </row>
    <row r="27" spans="2:18">
      <c r="B27" t="s">
        <v>50</v>
      </c>
      <c r="C27" s="4">
        <v>43692</v>
      </c>
      <c r="D27" s="5">
        <f>YEAR(MasterList[[#This Row],[Purchase Date]])</f>
        <v>2019</v>
      </c>
      <c r="E27" s="6">
        <v>218000</v>
      </c>
      <c r="F27" s="6"/>
      <c r="G27" s="6">
        <f>SUM(MasterList[[#This Row],[Purchase Price]:[Improvements]])</f>
        <v>218000</v>
      </c>
      <c r="H27" s="7"/>
      <c r="I27" s="28">
        <f>YEAR(MasterList[[#This Row],[Sales Date]])</f>
        <v>1900</v>
      </c>
      <c r="J27" s="11">
        <v>385000</v>
      </c>
      <c r="K27" s="5">
        <f ca="1">MasterList[[#This Row],[Total Investment]]*(1+MasterList[[#This Row],[Deal Level 
IRR]])^(MasterList[[#This Row],[Days Inventory]]/365)</f>
        <v>365750.00000000006</v>
      </c>
      <c r="L27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1645</v>
      </c>
      <c r="M27" s="6">
        <f ca="1">MasterList[[#This Row],[Days Inventory]]/365</f>
        <v>4.506849315068493</v>
      </c>
      <c r="N27" s="6">
        <f>MasterList[[#This Row],[Sales Price or MV]]*(1-$N$6)</f>
        <v>365750</v>
      </c>
      <c r="O27" s="10">
        <f ca="1">MasterList[[#This Row],[Money
 Multiple]]^(1/MasterList[[#This Row],[Yrs Inventory]])-1</f>
        <v>0.12166617723182016</v>
      </c>
      <c r="P27" s="9">
        <f>MasterList[[#This Row],[Est Net Sales Proceeds]]/SUM(MasterList[[#This Row],[Purchase Price]:[Improvements]])</f>
        <v>1.6777522935779816</v>
      </c>
      <c r="Q27" s="9" t="b">
        <f>IF(OR(ISBLANK(MasterList[[#This Row],[Sales Date]]),ISTEXT(MasterList[[#This Row],[Sales Date]])),FALSE, TRUE)</f>
        <v>0</v>
      </c>
    </row>
    <row r="28" spans="2:18">
      <c r="B28" t="s">
        <v>50</v>
      </c>
      <c r="C28" s="4">
        <v>44687</v>
      </c>
      <c r="D28" s="5">
        <f>YEAR(MasterList[[#This Row],[Purchase Date]])</f>
        <v>2022</v>
      </c>
      <c r="E28" s="6">
        <v>267524.90999999997</v>
      </c>
      <c r="F28" s="6">
        <v>60154.22</v>
      </c>
      <c r="G28" s="6">
        <f>SUM(MasterList[[#This Row],[Purchase Price]:[Improvements]])</f>
        <v>327679.13</v>
      </c>
      <c r="H28" s="7">
        <v>44840</v>
      </c>
      <c r="I28" s="28">
        <f>YEAR(MasterList[[#This Row],[Sales Date]])</f>
        <v>2022</v>
      </c>
      <c r="J28" s="11">
        <v>360000</v>
      </c>
      <c r="K28" s="5">
        <f ca="1">MasterList[[#This Row],[Total Investment]]*(1+MasterList[[#This Row],[Deal Level 
IRR]])^(MasterList[[#This Row],[Days Inventory]]/365)</f>
        <v>342000</v>
      </c>
      <c r="L28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153</v>
      </c>
      <c r="M28" s="6">
        <f ca="1">MasterList[[#This Row],[Days Inventory]]/365</f>
        <v>0.41917808219178082</v>
      </c>
      <c r="N28" s="6">
        <f>MasterList[[#This Row],[Sales Price or MV]]*(1-$N$6)</f>
        <v>342000</v>
      </c>
      <c r="O28" s="10">
        <f ca="1">MasterList[[#This Row],[Money
 Multiple]]^(1/MasterList[[#This Row],[Yrs Inventory]])-1</f>
        <v>0.10743553035939368</v>
      </c>
      <c r="P28" s="9">
        <f>MasterList[[#This Row],[Est Net Sales Proceeds]]/SUM(MasterList[[#This Row],[Purchase Price]:[Improvements]])</f>
        <v>1.0437039429395458</v>
      </c>
      <c r="Q28" s="9" t="b">
        <f>IF(OR(ISBLANK(MasterList[[#This Row],[Sales Date]]),ISTEXT(MasterList[[#This Row],[Sales Date]])),FALSE, TRUE)</f>
        <v>1</v>
      </c>
    </row>
    <row r="29" spans="2:18">
      <c r="B29" t="s">
        <v>50</v>
      </c>
      <c r="C29" s="4">
        <v>43329</v>
      </c>
      <c r="D29" s="5">
        <f>YEAR(MasterList[[#This Row],[Purchase Date]])</f>
        <v>2018</v>
      </c>
      <c r="E29" s="6">
        <v>215000</v>
      </c>
      <c r="F29" s="6"/>
      <c r="G29" s="6">
        <f>SUM(MasterList[[#This Row],[Purchase Price]:[Improvements]])</f>
        <v>215000</v>
      </c>
      <c r="H29" s="7"/>
      <c r="I29" s="28">
        <f>YEAR(MasterList[[#This Row],[Sales Date]])</f>
        <v>1900</v>
      </c>
      <c r="J29" s="11">
        <v>315000</v>
      </c>
      <c r="K29" s="5">
        <f ca="1">MasterList[[#This Row],[Total Investment]]*(1+MasterList[[#This Row],[Deal Level 
IRR]])^(MasterList[[#This Row],[Days Inventory]]/365)</f>
        <v>299250.00000000012</v>
      </c>
      <c r="L29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2008</v>
      </c>
      <c r="M29" s="6">
        <f ca="1">MasterList[[#This Row],[Days Inventory]]/365</f>
        <v>5.5013698630136982</v>
      </c>
      <c r="N29" s="6">
        <f>MasterList[[#This Row],[Sales Price or MV]]*(1-$N$6)</f>
        <v>299250</v>
      </c>
      <c r="O29" s="10">
        <f ca="1">MasterList[[#This Row],[Money
 Multiple]]^(1/MasterList[[#This Row],[Yrs Inventory]])-1</f>
        <v>6.1944470398019424E-2</v>
      </c>
      <c r="P29" s="9">
        <f>MasterList[[#This Row],[Est Net Sales Proceeds]]/SUM(MasterList[[#This Row],[Purchase Price]:[Improvements]])</f>
        <v>1.3918604651162791</v>
      </c>
      <c r="Q29" s="9" t="b">
        <f>IF(OR(ISBLANK(MasterList[[#This Row],[Sales Date]]),ISTEXT(MasterList[[#This Row],[Sales Date]])),FALSE, TRUE)</f>
        <v>0</v>
      </c>
    </row>
    <row r="30" spans="2:18">
      <c r="B30" t="s">
        <v>50</v>
      </c>
      <c r="C30" s="4">
        <v>43237</v>
      </c>
      <c r="D30" s="5">
        <f>YEAR(MasterList[[#This Row],[Purchase Date]])</f>
        <v>2018</v>
      </c>
      <c r="E30" s="19">
        <v>322000</v>
      </c>
      <c r="F30" s="6"/>
      <c r="G30" s="6">
        <f>SUM(MasterList[[#This Row],[Purchase Price]:[Improvements]])</f>
        <v>322000</v>
      </c>
      <c r="H30" s="4">
        <v>43572</v>
      </c>
      <c r="I30" s="6">
        <f>YEAR(MasterList[[#This Row],[Sales Date]])</f>
        <v>2019</v>
      </c>
      <c r="J30" s="11">
        <f>370000</f>
        <v>370000</v>
      </c>
      <c r="K30" s="5">
        <f ca="1">MasterList[[#This Row],[Total Investment]]*(1+MasterList[[#This Row],[Deal Level 
IRR]])^(MasterList[[#This Row],[Days Inventory]]/365)</f>
        <v>351500</v>
      </c>
      <c r="L30" s="6">
        <f ca="1">IF(
ISERROR(MasterList[[#This Row],[Sales Date]]-MasterList[[#This Row],[Purchase Date]]),
TODAY()-MasterList[[#This Row],[Purchase Date]],
IF(MasterList[[#This Row],[Sales Date]]-MasterList[[#This Row],[Purchase Date]] &lt; 0,
TODAY()-MasterList[[#This Row],[Purchase Date]],
MasterList[[#This Row],[Sales Date]]-MasterList[[#This Row],[Purchase Date]]))</f>
        <v>335</v>
      </c>
      <c r="M30" s="6">
        <f ca="1">MasterList[[#This Row],[Days Inventory]]/365</f>
        <v>0.9178082191780822</v>
      </c>
      <c r="N30" s="6">
        <f>MasterList[[#This Row],[Sales Price or MV]]*(1-$N$6)</f>
        <v>351500</v>
      </c>
      <c r="O30" s="10">
        <f ca="1">MasterList[[#This Row],[Money
 Multiple]]^(1/MasterList[[#This Row],[Yrs Inventory]])-1</f>
        <v>0.10021778953695559</v>
      </c>
      <c r="P30" s="9">
        <f>MasterList[[#This Row],[Est Net Sales Proceeds]]/SUM(MasterList[[#This Row],[Purchase Price]:[Improvements]])</f>
        <v>1.0916149068322982</v>
      </c>
      <c r="Q30" s="9" t="b">
        <f>IF(OR(ISBLANK(MasterList[[#This Row],[Sales Date]]),ISTEXT(MasterList[[#This Row],[Sales Date]])),FALSE, TRUE)</f>
        <v>1</v>
      </c>
    </row>
  </sheetData>
  <mergeCells count="1">
    <mergeCell ref="B3:H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7838-12AD-4C14-94A8-1221A9413B8F}">
  <dimension ref="A1:Q20"/>
  <sheetViews>
    <sheetView showGridLines="0" tabSelected="1" workbookViewId="0">
      <selection activeCell="M23" sqref="M23"/>
    </sheetView>
  </sheetViews>
  <sheetFormatPr defaultColWidth="0" defaultRowHeight="15"/>
  <cols>
    <col min="1" max="1" width="8.85546875" customWidth="1"/>
    <col min="2" max="2" width="31.28515625" customWidth="1"/>
    <col min="3" max="3" width="15.5703125" bestFit="1" customWidth="1"/>
    <col min="4" max="4" width="15.42578125" hidden="1" customWidth="1"/>
    <col min="5" max="5" width="16.140625" customWidth="1"/>
    <col min="6" max="6" width="12.140625" bestFit="1" customWidth="1"/>
    <col min="7" max="7" width="12.140625" hidden="1" customWidth="1"/>
    <col min="8" max="8" width="19.28515625" bestFit="1" customWidth="1"/>
    <col min="9" max="9" width="19.85546875" bestFit="1" customWidth="1"/>
    <col min="10" max="10" width="12.28515625" bestFit="1" customWidth="1"/>
    <col min="11" max="11" width="16.7109375" bestFit="1" customWidth="1"/>
    <col min="12" max="12" width="17.28515625" bestFit="1" customWidth="1"/>
    <col min="13" max="13" width="16.28515625" bestFit="1" customWidth="1"/>
    <col min="14" max="14" width="16.7109375" bestFit="1" customWidth="1"/>
    <col min="15" max="15" width="14.85546875" customWidth="1"/>
    <col min="16" max="16" width="21" customWidth="1"/>
    <col min="17" max="17" width="9.28515625" bestFit="1" customWidth="1"/>
    <col min="18" max="16384" width="8.85546875" hidden="1"/>
  </cols>
  <sheetData>
    <row r="1" spans="2:16">
      <c r="B1" s="1" t="s">
        <v>0</v>
      </c>
    </row>
    <row r="2" spans="2:16">
      <c r="B2" s="48" t="s">
        <v>1</v>
      </c>
    </row>
    <row r="3" spans="2:16" s="3" customFormat="1" ht="28.5">
      <c r="B3" s="2" t="s">
        <v>53</v>
      </c>
    </row>
    <row r="7" spans="2:16">
      <c r="B7" t="s">
        <v>54</v>
      </c>
    </row>
    <row r="8" spans="2:16">
      <c r="B8" s="14" t="s">
        <v>55</v>
      </c>
      <c r="C8" s="14" t="s">
        <v>33</v>
      </c>
      <c r="D8" s="14" t="s">
        <v>34</v>
      </c>
      <c r="E8" s="14" t="s">
        <v>37</v>
      </c>
      <c r="F8" s="14" t="s">
        <v>38</v>
      </c>
      <c r="G8" s="14" t="s">
        <v>39</v>
      </c>
      <c r="H8" s="14" t="s">
        <v>40</v>
      </c>
      <c r="I8" s="14" t="s">
        <v>44</v>
      </c>
      <c r="J8" s="14" t="s">
        <v>56</v>
      </c>
      <c r="K8" s="14" t="s">
        <v>57</v>
      </c>
      <c r="L8" s="14" t="s">
        <v>58</v>
      </c>
      <c r="M8" s="15" t="s">
        <v>59</v>
      </c>
      <c r="N8" s="14" t="s">
        <v>60</v>
      </c>
      <c r="O8" s="14" t="s">
        <v>48</v>
      </c>
      <c r="P8" s="14" t="s">
        <v>47</v>
      </c>
    </row>
    <row r="9" spans="2:16">
      <c r="B9" t="s">
        <v>50</v>
      </c>
      <c r="C9" s="4">
        <v>44665</v>
      </c>
      <c r="D9" s="6">
        <f>YEAR(ThirdPartyList[[#This Row],[Purchase Date]])</f>
        <v>2022</v>
      </c>
      <c r="E9" s="6">
        <v>243177.43</v>
      </c>
      <c r="F9" s="4">
        <v>44734</v>
      </c>
      <c r="G9" s="6">
        <f>YEAR(ThirdPartyList[[#This Row],[Sales Date]])</f>
        <v>2022</v>
      </c>
      <c r="H9" s="6">
        <v>280000</v>
      </c>
      <c r="I9" s="6">
        <f>ThirdPartyList[[#This Row],[Sales Price or MV]]*0.97</f>
        <v>271600</v>
      </c>
      <c r="J9" s="17">
        <v>0.5</v>
      </c>
      <c r="K9" s="6">
        <f>(ThirdPartyList[[#This Row],[Est Net Sales Proceeds]]-ThirdPartyList[[#This Row],[Total Investment]])*ThirdPartyList[[#This Row],[Profit Split]]</f>
        <v>14211.285000000003</v>
      </c>
      <c r="L9" s="18">
        <f ca="1">IF(ThirdPartyList[[#This Row],[Sales Date]]="",(TODAY()-ThirdPartyList[[#This Row],[Purchase Date]]+1)/365,(ThirdPartyList[[#This Row],[Sales Date]]-ThirdPartyList[[#This Row],[Purchase Date]]+1)/365)</f>
        <v>0.19178082191780821</v>
      </c>
      <c r="M9" s="10">
        <f ca="1">ThirdPartyList[[#This Row],[MoM]]^(1/ThirdPartyList[[#This Row],[Inventory Years]])-1</f>
        <v>0.34467338509742818</v>
      </c>
      <c r="N9">
        <f>(ThirdPartyList[[#This Row],[Share-of-Profit]]+ThirdPartyList[[#This Row],[Total Investment]])/ThirdPartyList[[#This Row],[Total Investment]]</f>
        <v>1.0584399835132725</v>
      </c>
      <c r="P9" t="b">
        <f>IF(NOT(ISBLANK(ThirdPartyList[[#This Row],[Sales Date]])), TRUE, FALSE)</f>
        <v>1</v>
      </c>
    </row>
    <row r="10" spans="2:16">
      <c r="B10" t="s">
        <v>50</v>
      </c>
      <c r="C10" s="4">
        <v>44691</v>
      </c>
      <c r="D10" s="6">
        <f>YEAR(ThirdPartyList[[#This Row],[Purchase Date]])</f>
        <v>2022</v>
      </c>
      <c r="E10" s="6">
        <v>135078.84</v>
      </c>
      <c r="F10" s="4">
        <v>44733</v>
      </c>
      <c r="G10" s="6">
        <f>YEAR(ThirdPartyList[[#This Row],[Sales Date]])</f>
        <v>2022</v>
      </c>
      <c r="H10" s="6">
        <v>152000</v>
      </c>
      <c r="I10" s="6">
        <f>ThirdPartyList[[#This Row],[Sales Price or MV]]*0.97</f>
        <v>147440</v>
      </c>
      <c r="J10" s="17">
        <v>0.5</v>
      </c>
      <c r="K10" s="6">
        <f>(ThirdPartyList[[#This Row],[Est Net Sales Proceeds]]-ThirdPartyList[[#This Row],[Total Investment]])*ThirdPartyList[[#This Row],[Profit Split]]</f>
        <v>6180.5800000000017</v>
      </c>
      <c r="L10" s="18">
        <f ca="1">IF(ThirdPartyList[[#This Row],[Sales Date]]="",(TODAY()-ThirdPartyList[[#This Row],[Purchase Date]]+1)/365,(ThirdPartyList[[#This Row],[Sales Date]]-ThirdPartyList[[#This Row],[Purchase Date]]+1)/365)</f>
        <v>0.11780821917808219</v>
      </c>
      <c r="M10" s="10">
        <f ca="1">ThirdPartyList[[#This Row],[MoM]]^(1/ThirdPartyList[[#This Row],[Inventory Years]])-1</f>
        <v>0.46194113856011154</v>
      </c>
      <c r="N10">
        <f>(ThirdPartyList[[#This Row],[Share-of-Profit]]+ThirdPartyList[[#This Row],[Total Investment]])/ThirdPartyList[[#This Row],[Total Investment]]</f>
        <v>1.0457553529479524</v>
      </c>
      <c r="P10" t="b">
        <f>IF(NOT(ISBLANK(ThirdPartyList[[#This Row],[Sales Date]])), TRUE, FALSE)</f>
        <v>1</v>
      </c>
    </row>
    <row r="11" spans="2:16">
      <c r="B11" t="s">
        <v>50</v>
      </c>
      <c r="C11" s="4">
        <v>44694</v>
      </c>
      <c r="D11" s="6">
        <f>YEAR(ThirdPartyList[[#This Row],[Purchase Date]])</f>
        <v>2022</v>
      </c>
      <c r="E11" s="6">
        <v>254571.1</v>
      </c>
      <c r="F11" s="4">
        <v>44741</v>
      </c>
      <c r="G11" s="6">
        <f>YEAR(ThirdPartyList[[#This Row],[Sales Date]])</f>
        <v>2022</v>
      </c>
      <c r="H11" s="6">
        <v>280000</v>
      </c>
      <c r="I11" s="6">
        <f>ThirdPartyList[[#This Row],[Sales Price or MV]]*0.97</f>
        <v>271600</v>
      </c>
      <c r="J11" s="17">
        <v>0.5</v>
      </c>
      <c r="K11" s="6">
        <f>(ThirdPartyList[[#This Row],[Est Net Sales Proceeds]]-ThirdPartyList[[#This Row],[Total Investment]])*ThirdPartyList[[#This Row],[Profit Split]]</f>
        <v>8514.4499999999971</v>
      </c>
      <c r="L11" s="18">
        <f ca="1">IF(ThirdPartyList[[#This Row],[Sales Date]]="",(TODAY()-ThirdPartyList[[#This Row],[Purchase Date]]+1)/365,(ThirdPartyList[[#This Row],[Sales Date]]-ThirdPartyList[[#This Row],[Purchase Date]]+1)/365)</f>
        <v>0.13150684931506848</v>
      </c>
      <c r="M11" s="10">
        <f ca="1">ThirdPartyList[[#This Row],[MoM]]^(1/ThirdPartyList[[#This Row],[Inventory Years]])-1</f>
        <v>0.28424398979741228</v>
      </c>
      <c r="N11">
        <f>(ThirdPartyList[[#This Row],[Share-of-Profit]]+ThirdPartyList[[#This Row],[Total Investment]])/ThirdPartyList[[#This Row],[Total Investment]]</f>
        <v>1.0334462552897794</v>
      </c>
      <c r="P11" t="b">
        <f>IF(NOT(ISBLANK(ThirdPartyList[[#This Row],[Sales Date]])), TRUE, FALSE)</f>
        <v>1</v>
      </c>
    </row>
    <row r="12" spans="2:16">
      <c r="B12" t="s">
        <v>50</v>
      </c>
      <c r="C12" s="4">
        <v>44694</v>
      </c>
      <c r="D12" s="6">
        <f>YEAR(ThirdPartyList[[#This Row],[Purchase Date]])</f>
        <v>2022</v>
      </c>
      <c r="E12" s="6">
        <v>187955.63</v>
      </c>
      <c r="F12" s="4">
        <v>44726</v>
      </c>
      <c r="G12" s="6">
        <f>YEAR(ThirdPartyList[[#This Row],[Sales Date]])</f>
        <v>2022</v>
      </c>
      <c r="H12" s="6">
        <v>212000</v>
      </c>
      <c r="I12" s="6">
        <f>ThirdPartyList[[#This Row],[Sales Price or MV]]*0.97</f>
        <v>205640</v>
      </c>
      <c r="J12" s="17">
        <v>0.5</v>
      </c>
      <c r="K12" s="6">
        <f>(ThirdPartyList[[#This Row],[Est Net Sales Proceeds]]-ThirdPartyList[[#This Row],[Total Investment]])*ThirdPartyList[[#This Row],[Profit Split]]</f>
        <v>8842.1849999999977</v>
      </c>
      <c r="L12" s="18">
        <f ca="1">IF(ThirdPartyList[[#This Row],[Sales Date]]="",(TODAY()-ThirdPartyList[[#This Row],[Purchase Date]]+1)/365,(ThirdPartyList[[#This Row],[Sales Date]]-ThirdPartyList[[#This Row],[Purchase Date]]+1)/365)</f>
        <v>9.0410958904109592E-2</v>
      </c>
      <c r="M12" s="10">
        <f ca="1">ThirdPartyList[[#This Row],[MoM]]^(1/ThirdPartyList[[#This Row],[Inventory Years]])-1</f>
        <v>0.66273968069124467</v>
      </c>
      <c r="N12">
        <f>(ThirdPartyList[[#This Row],[Share-of-Profit]]+ThirdPartyList[[#This Row],[Total Investment]])/ThirdPartyList[[#This Row],[Total Investment]]</f>
        <v>1.047044001821068</v>
      </c>
      <c r="P12" t="b">
        <f>IF(NOT(ISBLANK(ThirdPartyList[[#This Row],[Sales Date]])), TRUE, FALSE)</f>
        <v>1</v>
      </c>
    </row>
    <row r="13" spans="2:16">
      <c r="B13" t="s">
        <v>50</v>
      </c>
      <c r="C13" s="4">
        <v>44697</v>
      </c>
      <c r="D13" s="6">
        <f>YEAR(ThirdPartyList[[#This Row],[Purchase Date]])</f>
        <v>2022</v>
      </c>
      <c r="E13" s="6">
        <v>326891.14</v>
      </c>
      <c r="F13" s="4">
        <v>44727</v>
      </c>
      <c r="G13" s="6">
        <f>YEAR(ThirdPartyList[[#This Row],[Sales Date]])</f>
        <v>2022</v>
      </c>
      <c r="H13" s="6">
        <v>360000</v>
      </c>
      <c r="I13" s="6">
        <f>ThirdPartyList[[#This Row],[Sales Price or MV]]*0.97</f>
        <v>349200</v>
      </c>
      <c r="J13" s="17">
        <v>0.5</v>
      </c>
      <c r="K13" s="6">
        <f>(ThirdPartyList[[#This Row],[Est Net Sales Proceeds]]-ThirdPartyList[[#This Row],[Total Investment]])*ThirdPartyList[[#This Row],[Profit Split]]</f>
        <v>11154.429999999993</v>
      </c>
      <c r="L13" s="18">
        <f ca="1">IF(ThirdPartyList[[#This Row],[Sales Date]]="",(TODAY()-ThirdPartyList[[#This Row],[Purchase Date]]+1)/365,(ThirdPartyList[[#This Row],[Sales Date]]-ThirdPartyList[[#This Row],[Purchase Date]]+1)/365)</f>
        <v>8.4931506849315067E-2</v>
      </c>
      <c r="M13" s="10">
        <f ca="1">ThirdPartyList[[#This Row],[MoM]]^(1/ThirdPartyList[[#This Row],[Inventory Years]])-1</f>
        <v>0.48448125326694358</v>
      </c>
      <c r="N13">
        <f>(ThirdPartyList[[#This Row],[Share-of-Profit]]+ThirdPartyList[[#This Row],[Total Investment]])/ThirdPartyList[[#This Row],[Total Investment]]</f>
        <v>1.0341227663741512</v>
      </c>
      <c r="P13" t="b">
        <f>IF(NOT(ISBLANK(ThirdPartyList[[#This Row],[Sales Date]])), TRUE, FALSE)</f>
        <v>1</v>
      </c>
    </row>
    <row r="14" spans="2:16">
      <c r="B14" t="s">
        <v>50</v>
      </c>
      <c r="C14" s="4">
        <v>44700</v>
      </c>
      <c r="D14" s="6">
        <f>YEAR(ThirdPartyList[[#This Row],[Purchase Date]])</f>
        <v>2022</v>
      </c>
      <c r="E14" s="6">
        <v>449465.42</v>
      </c>
      <c r="F14" s="4">
        <v>44823</v>
      </c>
      <c r="G14" s="6">
        <f>YEAR(ThirdPartyList[[#This Row],[Sales Date]])</f>
        <v>2022</v>
      </c>
      <c r="H14" s="6">
        <v>459000</v>
      </c>
      <c r="I14" s="6">
        <f>ThirdPartyList[[#This Row],[Sales Price or MV]]*0.97</f>
        <v>445230</v>
      </c>
      <c r="J14" s="17">
        <v>0.5</v>
      </c>
      <c r="K14" s="6">
        <f>(ThirdPartyList[[#This Row],[Est Net Sales Proceeds]]-ThirdPartyList[[#This Row],[Total Investment]])*ThirdPartyList[[#This Row],[Profit Split]]</f>
        <v>-2117.7099999999919</v>
      </c>
      <c r="L14" s="18">
        <f ca="1">IF(ThirdPartyList[[#This Row],[Sales Date]]="",(TODAY()-ThirdPartyList[[#This Row],[Purchase Date]]+1)/365,(ThirdPartyList[[#This Row],[Sales Date]]-ThirdPartyList[[#This Row],[Purchase Date]]+1)/365)</f>
        <v>0.33972602739726027</v>
      </c>
      <c r="M14" s="10">
        <f ca="1">ThirdPartyList[[#This Row],[MoM]]^(1/ThirdPartyList[[#This Row],[Inventory Years]])-1</f>
        <v>-1.3805473369930654E-2</v>
      </c>
      <c r="N14">
        <f>(ThirdPartyList[[#This Row],[Share-of-Profit]]+ThirdPartyList[[#This Row],[Total Investment]])/ThirdPartyList[[#This Row],[Total Investment]]</f>
        <v>0.99528838058331603</v>
      </c>
      <c r="P14" t="b">
        <f>IF(NOT(ISBLANK(ThirdPartyList[[#This Row],[Sales Date]])), TRUE, FALSE)</f>
        <v>1</v>
      </c>
    </row>
    <row r="15" spans="2:16">
      <c r="B15" t="s">
        <v>50</v>
      </c>
      <c r="C15" s="4">
        <v>44701</v>
      </c>
      <c r="D15" s="6">
        <f>YEAR(ThirdPartyList[[#This Row],[Purchase Date]])</f>
        <v>2022</v>
      </c>
      <c r="E15" s="6">
        <v>272063.94</v>
      </c>
      <c r="F15" s="4">
        <v>44721</v>
      </c>
      <c r="G15" s="6">
        <f>YEAR(ThirdPartyList[[#This Row],[Sales Date]])</f>
        <v>2022</v>
      </c>
      <c r="H15" s="6">
        <v>298000</v>
      </c>
      <c r="I15" s="6">
        <f>ThirdPartyList[[#This Row],[Sales Price or MV]]*0.97</f>
        <v>289060</v>
      </c>
      <c r="J15" s="17">
        <v>0.5</v>
      </c>
      <c r="K15" s="6">
        <f>(ThirdPartyList[[#This Row],[Est Net Sales Proceeds]]-ThirdPartyList[[#This Row],[Total Investment]])*ThirdPartyList[[#This Row],[Profit Split]]</f>
        <v>8498.0299999999988</v>
      </c>
      <c r="L15" s="18">
        <f ca="1">IF(ThirdPartyList[[#This Row],[Sales Date]]="",(TODAY()-ThirdPartyList[[#This Row],[Purchase Date]]+1)/365,(ThirdPartyList[[#This Row],[Sales Date]]-ThirdPartyList[[#This Row],[Purchase Date]]+1)/365)</f>
        <v>5.7534246575342465E-2</v>
      </c>
      <c r="M15" s="10">
        <f ca="1">ThirdPartyList[[#This Row],[MoM]]^(1/ThirdPartyList[[#This Row],[Inventory Years]])-1</f>
        <v>0.7067567094037277</v>
      </c>
      <c r="N15">
        <f>(ThirdPartyList[[#This Row],[Share-of-Profit]]+ThirdPartyList[[#This Row],[Total Investment]])/ThirdPartyList[[#This Row],[Total Investment]]</f>
        <v>1.031235414733757</v>
      </c>
      <c r="P15" t="b">
        <f>IF(NOT(ISBLANK(ThirdPartyList[[#This Row],[Sales Date]])), TRUE, FALSE)</f>
        <v>1</v>
      </c>
    </row>
    <row r="16" spans="2:16">
      <c r="B16" t="s">
        <v>50</v>
      </c>
      <c r="C16" s="4">
        <v>44706</v>
      </c>
      <c r="D16" s="6">
        <f>YEAR(ThirdPartyList[[#This Row],[Purchase Date]])</f>
        <v>2022</v>
      </c>
      <c r="E16" s="6">
        <v>200469.05</v>
      </c>
      <c r="F16" s="4">
        <v>44755</v>
      </c>
      <c r="G16" s="6">
        <f>YEAR(ThirdPartyList[[#This Row],[Sales Date]])</f>
        <v>2022</v>
      </c>
      <c r="H16" s="6">
        <v>215000</v>
      </c>
      <c r="I16" s="6">
        <f>ThirdPartyList[[#This Row],[Sales Price or MV]]*0.97</f>
        <v>208550</v>
      </c>
      <c r="J16" s="17">
        <v>0.5</v>
      </c>
      <c r="K16" s="6">
        <f>(ThirdPartyList[[#This Row],[Est Net Sales Proceeds]]-ThirdPartyList[[#This Row],[Total Investment]])*ThirdPartyList[[#This Row],[Profit Split]]</f>
        <v>4040.4750000000058</v>
      </c>
      <c r="L16" s="18">
        <f ca="1">IF(ThirdPartyList[[#This Row],[Sales Date]]="",(TODAY()-ThirdPartyList[[#This Row],[Purchase Date]]+1)/365,(ThirdPartyList[[#This Row],[Sales Date]]-ThirdPartyList[[#This Row],[Purchase Date]]+1)/365)</f>
        <v>0.13698630136986301</v>
      </c>
      <c r="M16" s="10">
        <f ca="1">ThirdPartyList[[#This Row],[MoM]]^(1/ThirdPartyList[[#This Row],[Inventory Years]])-1</f>
        <v>0.15681341490487433</v>
      </c>
      <c r="N16">
        <f>(ThirdPartyList[[#This Row],[Share-of-Profit]]+ThirdPartyList[[#This Row],[Total Investment]])/ThirdPartyList[[#This Row],[Total Investment]]</f>
        <v>1.0201551062370975</v>
      </c>
      <c r="P16" t="b">
        <f>IF(NOT(ISBLANK(ThirdPartyList[[#This Row],[Sales Date]])), TRUE, FALSE)</f>
        <v>1</v>
      </c>
    </row>
    <row r="20" spans="3:3">
      <c r="C20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6814-E533-482E-AB69-EFDCA250AE9C}">
  <dimension ref="B1:E46"/>
  <sheetViews>
    <sheetView showGridLines="0" workbookViewId="0">
      <selection activeCell="L18" sqref="L18"/>
    </sheetView>
  </sheetViews>
  <sheetFormatPr defaultRowHeight="15"/>
  <cols>
    <col min="2" max="2" width="35.42578125" bestFit="1" customWidth="1"/>
    <col min="3" max="3" width="18.28515625" customWidth="1"/>
    <col min="4" max="4" width="12.5703125" customWidth="1"/>
    <col min="5" max="5" width="17.28515625" customWidth="1"/>
  </cols>
  <sheetData>
    <row r="1" spans="2:5">
      <c r="B1" s="1" t="s">
        <v>0</v>
      </c>
    </row>
    <row r="2" spans="2:5">
      <c r="B2" s="48" t="s">
        <v>1</v>
      </c>
    </row>
    <row r="3" spans="2:5" s="3" customFormat="1" ht="28.5">
      <c r="B3" s="50" t="s">
        <v>61</v>
      </c>
      <c r="C3" s="50"/>
      <c r="D3" s="50"/>
      <c r="E3" s="50"/>
    </row>
    <row r="7" spans="2:5">
      <c r="B7" t="s">
        <v>32</v>
      </c>
      <c r="C7" t="s">
        <v>62</v>
      </c>
      <c r="D7" t="s">
        <v>63</v>
      </c>
      <c r="E7" t="s">
        <v>64</v>
      </c>
    </row>
    <row r="8" spans="2:5">
      <c r="B8" t="s">
        <v>50</v>
      </c>
      <c r="C8" s="37">
        <v>385000</v>
      </c>
      <c r="D8" s="4">
        <v>44564</v>
      </c>
      <c r="E8" s="26">
        <v>6000</v>
      </c>
    </row>
    <row r="9" spans="2:5">
      <c r="B9" t="s">
        <v>50</v>
      </c>
      <c r="C9" s="37">
        <v>345000</v>
      </c>
      <c r="D9" s="4">
        <v>44565</v>
      </c>
      <c r="E9" s="26">
        <v>13000</v>
      </c>
    </row>
    <row r="10" spans="2:5">
      <c r="B10" t="s">
        <v>50</v>
      </c>
      <c r="C10" s="37">
        <v>402000</v>
      </c>
      <c r="D10" s="4">
        <v>44565</v>
      </c>
      <c r="E10" s="26">
        <v>7000</v>
      </c>
    </row>
    <row r="11" spans="2:5">
      <c r="B11" t="s">
        <v>50</v>
      </c>
      <c r="C11" s="37">
        <v>147000</v>
      </c>
      <c r="D11" s="4">
        <v>44566</v>
      </c>
      <c r="E11" s="26">
        <v>20000</v>
      </c>
    </row>
    <row r="12" spans="2:5">
      <c r="B12" t="s">
        <v>50</v>
      </c>
      <c r="C12" s="37">
        <v>195000</v>
      </c>
      <c r="D12" s="4">
        <v>44572</v>
      </c>
      <c r="E12" s="26">
        <v>11000</v>
      </c>
    </row>
    <row r="13" spans="2:5">
      <c r="B13" t="s">
        <v>50</v>
      </c>
      <c r="C13" s="37">
        <v>807100</v>
      </c>
      <c r="D13" s="4">
        <v>44574</v>
      </c>
      <c r="E13" s="26">
        <v>42900</v>
      </c>
    </row>
    <row r="14" spans="2:5">
      <c r="B14" t="s">
        <v>50</v>
      </c>
      <c r="C14" s="37">
        <v>200000</v>
      </c>
      <c r="D14" s="4">
        <v>44575</v>
      </c>
      <c r="E14" s="26">
        <v>15000</v>
      </c>
    </row>
    <row r="15" spans="2:5">
      <c r="B15" t="s">
        <v>50</v>
      </c>
      <c r="C15" s="37">
        <v>172000</v>
      </c>
      <c r="D15" s="4">
        <v>44575</v>
      </c>
      <c r="E15" s="26">
        <v>5000</v>
      </c>
    </row>
    <row r="16" spans="2:5">
      <c r="B16" t="s">
        <v>50</v>
      </c>
      <c r="C16" s="37">
        <v>293000</v>
      </c>
      <c r="D16" s="4">
        <v>44582</v>
      </c>
      <c r="E16" s="26">
        <v>67000</v>
      </c>
    </row>
    <row r="17" spans="2:5">
      <c r="B17" t="s">
        <v>50</v>
      </c>
      <c r="C17" s="37">
        <v>297000</v>
      </c>
      <c r="D17" s="4">
        <v>44586</v>
      </c>
      <c r="E17" s="26">
        <v>20000</v>
      </c>
    </row>
    <row r="18" spans="2:5">
      <c r="B18" t="s">
        <v>50</v>
      </c>
      <c r="C18" s="37">
        <v>117500</v>
      </c>
      <c r="D18" s="4">
        <v>44586</v>
      </c>
      <c r="E18" s="26">
        <v>6500</v>
      </c>
    </row>
    <row r="19" spans="2:5">
      <c r="B19" t="s">
        <v>50</v>
      </c>
      <c r="C19" s="37">
        <v>207000</v>
      </c>
      <c r="D19" s="4">
        <v>44588</v>
      </c>
      <c r="E19" s="26">
        <v>4000</v>
      </c>
    </row>
    <row r="20" spans="2:5">
      <c r="B20" t="s">
        <v>50</v>
      </c>
      <c r="C20" s="37">
        <v>195000</v>
      </c>
      <c r="D20" s="4">
        <v>44589</v>
      </c>
      <c r="E20" s="26">
        <v>10000</v>
      </c>
    </row>
    <row r="21" spans="2:5">
      <c r="B21" t="s">
        <v>50</v>
      </c>
      <c r="C21" s="37">
        <v>385000</v>
      </c>
      <c r="D21" s="4">
        <v>44564</v>
      </c>
      <c r="E21" s="26">
        <v>6000</v>
      </c>
    </row>
    <row r="22" spans="2:5">
      <c r="B22" t="s">
        <v>50</v>
      </c>
      <c r="C22" s="37">
        <v>345000</v>
      </c>
      <c r="D22" s="4">
        <v>44565</v>
      </c>
      <c r="E22" s="26">
        <v>13000</v>
      </c>
    </row>
    <row r="23" spans="2:5">
      <c r="B23" t="s">
        <v>50</v>
      </c>
      <c r="C23" s="37">
        <v>402000</v>
      </c>
      <c r="D23" s="4">
        <v>44565</v>
      </c>
      <c r="E23" s="26">
        <v>7000</v>
      </c>
    </row>
    <row r="24" spans="2:5">
      <c r="B24" t="s">
        <v>50</v>
      </c>
      <c r="C24" s="37">
        <v>147000</v>
      </c>
      <c r="D24" s="4">
        <v>44566</v>
      </c>
      <c r="E24" s="26">
        <v>20000</v>
      </c>
    </row>
    <row r="25" spans="2:5">
      <c r="B25" t="s">
        <v>50</v>
      </c>
      <c r="C25" s="37">
        <v>195000</v>
      </c>
      <c r="D25" s="4">
        <v>44572</v>
      </c>
      <c r="E25" s="26">
        <v>11000</v>
      </c>
    </row>
    <row r="26" spans="2:5">
      <c r="B26" t="s">
        <v>50</v>
      </c>
      <c r="C26" s="37">
        <v>807100</v>
      </c>
      <c r="D26" s="4">
        <v>44574</v>
      </c>
      <c r="E26" s="26">
        <v>42900</v>
      </c>
    </row>
    <row r="27" spans="2:5">
      <c r="B27" t="s">
        <v>50</v>
      </c>
      <c r="C27" s="37">
        <v>200000</v>
      </c>
      <c r="D27" s="4">
        <v>44575</v>
      </c>
      <c r="E27" s="26">
        <v>15000</v>
      </c>
    </row>
    <row r="28" spans="2:5">
      <c r="B28" t="s">
        <v>50</v>
      </c>
      <c r="C28" s="37">
        <v>172000</v>
      </c>
      <c r="D28" s="4">
        <v>44575</v>
      </c>
      <c r="E28" s="26">
        <v>5000</v>
      </c>
    </row>
    <row r="29" spans="2:5">
      <c r="B29" t="s">
        <v>50</v>
      </c>
      <c r="C29" s="37">
        <v>293000</v>
      </c>
      <c r="D29" s="4">
        <v>44582</v>
      </c>
      <c r="E29" s="26">
        <v>67000</v>
      </c>
    </row>
    <row r="30" spans="2:5">
      <c r="B30" t="s">
        <v>50</v>
      </c>
      <c r="C30" s="37">
        <v>297000</v>
      </c>
      <c r="D30" s="4">
        <v>44586</v>
      </c>
      <c r="E30" s="26">
        <v>20000</v>
      </c>
    </row>
    <row r="31" spans="2:5">
      <c r="B31" t="s">
        <v>50</v>
      </c>
      <c r="C31" s="37">
        <v>117500</v>
      </c>
      <c r="D31" s="4">
        <v>44586</v>
      </c>
      <c r="E31" s="26">
        <v>6500</v>
      </c>
    </row>
    <row r="32" spans="2:5">
      <c r="B32" t="s">
        <v>50</v>
      </c>
      <c r="C32" s="37">
        <v>207000</v>
      </c>
      <c r="D32" s="4">
        <v>44588</v>
      </c>
      <c r="E32" s="26">
        <v>4000</v>
      </c>
    </row>
    <row r="33" spans="2:5">
      <c r="B33" t="s">
        <v>50</v>
      </c>
      <c r="C33" s="37">
        <v>195000</v>
      </c>
      <c r="D33" s="4">
        <v>44589</v>
      </c>
      <c r="E33" s="26">
        <v>10000</v>
      </c>
    </row>
    <row r="34" spans="2:5">
      <c r="B34" t="s">
        <v>50</v>
      </c>
      <c r="C34" s="37">
        <v>385000</v>
      </c>
      <c r="D34" s="4">
        <v>44564</v>
      </c>
      <c r="E34" s="26">
        <v>6000</v>
      </c>
    </row>
    <row r="35" spans="2:5">
      <c r="B35" t="s">
        <v>50</v>
      </c>
      <c r="C35" s="37">
        <v>345000</v>
      </c>
      <c r="D35" s="4">
        <v>44565</v>
      </c>
      <c r="E35" s="26">
        <v>13000</v>
      </c>
    </row>
    <row r="36" spans="2:5">
      <c r="B36" t="s">
        <v>50</v>
      </c>
      <c r="C36" s="37">
        <v>402000</v>
      </c>
      <c r="D36" s="4">
        <v>44565</v>
      </c>
      <c r="E36" s="26">
        <v>7000</v>
      </c>
    </row>
    <row r="37" spans="2:5">
      <c r="B37" t="s">
        <v>50</v>
      </c>
      <c r="C37" s="37">
        <v>147000</v>
      </c>
      <c r="D37" s="4">
        <v>44566</v>
      </c>
      <c r="E37" s="26">
        <v>20000</v>
      </c>
    </row>
    <row r="38" spans="2:5">
      <c r="B38" t="s">
        <v>50</v>
      </c>
      <c r="C38" s="37">
        <v>195000</v>
      </c>
      <c r="D38" s="4">
        <v>44572</v>
      </c>
      <c r="E38" s="26">
        <v>11000</v>
      </c>
    </row>
    <row r="39" spans="2:5">
      <c r="B39" t="s">
        <v>50</v>
      </c>
      <c r="C39" s="37">
        <v>807100</v>
      </c>
      <c r="D39" s="4">
        <v>44574</v>
      </c>
      <c r="E39" s="26">
        <v>42900</v>
      </c>
    </row>
    <row r="40" spans="2:5">
      <c r="B40" t="s">
        <v>50</v>
      </c>
      <c r="C40" s="37">
        <v>200000</v>
      </c>
      <c r="D40" s="4">
        <v>44575</v>
      </c>
      <c r="E40" s="26">
        <v>15000</v>
      </c>
    </row>
    <row r="41" spans="2:5">
      <c r="B41" t="s">
        <v>50</v>
      </c>
      <c r="C41" s="37">
        <v>172000</v>
      </c>
      <c r="D41" s="4">
        <v>44575</v>
      </c>
      <c r="E41" s="26">
        <v>5000</v>
      </c>
    </row>
    <row r="42" spans="2:5">
      <c r="B42" t="s">
        <v>50</v>
      </c>
      <c r="C42" s="37">
        <v>293000</v>
      </c>
      <c r="D42" s="4">
        <v>44582</v>
      </c>
      <c r="E42" s="26">
        <v>67000</v>
      </c>
    </row>
    <row r="43" spans="2:5">
      <c r="B43" t="s">
        <v>50</v>
      </c>
      <c r="C43" s="37">
        <v>297000</v>
      </c>
      <c r="D43" s="4">
        <v>44586</v>
      </c>
      <c r="E43" s="26">
        <v>20000</v>
      </c>
    </row>
    <row r="44" spans="2:5">
      <c r="B44" t="s">
        <v>50</v>
      </c>
      <c r="C44" s="37">
        <v>117500</v>
      </c>
      <c r="D44" s="4">
        <v>44586</v>
      </c>
      <c r="E44" s="26">
        <v>6500</v>
      </c>
    </row>
    <row r="45" spans="2:5">
      <c r="B45" t="s">
        <v>50</v>
      </c>
      <c r="C45" s="37">
        <v>207000</v>
      </c>
      <c r="D45" s="4">
        <v>44588</v>
      </c>
      <c r="E45" s="26">
        <v>4000</v>
      </c>
    </row>
    <row r="46" spans="2:5">
      <c r="B46" t="s">
        <v>50</v>
      </c>
      <c r="C46" s="37">
        <v>195000</v>
      </c>
      <c r="D46" s="4">
        <v>44589</v>
      </c>
      <c r="E46" s="26">
        <v>10000</v>
      </c>
    </row>
  </sheetData>
  <mergeCells count="1">
    <mergeCell ref="B3:E3"/>
  </mergeCells>
  <phoneticPr fontId="10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E9E92-3E12-4AB8-9522-7D02F0411C19}">
  <dimension ref="B2:R380"/>
  <sheetViews>
    <sheetView workbookViewId="0">
      <selection activeCell="F23" sqref="F23"/>
    </sheetView>
  </sheetViews>
  <sheetFormatPr defaultRowHeight="15"/>
  <cols>
    <col min="2" max="2" width="10.5703125" bestFit="1" customWidth="1"/>
    <col min="3" max="3" width="13.5703125" bestFit="1" customWidth="1"/>
    <col min="5" max="5" width="12" bestFit="1" customWidth="1"/>
    <col min="6" max="6" width="12.28515625" bestFit="1" customWidth="1"/>
    <col min="7" max="7" width="10.5703125" bestFit="1" customWidth="1"/>
    <col min="8" max="8" width="11.7109375" bestFit="1" customWidth="1"/>
    <col min="9" max="9" width="12.85546875" bestFit="1" customWidth="1"/>
    <col min="11" max="11" width="14.5703125" hidden="1" customWidth="1"/>
    <col min="12" max="12" width="13.85546875" hidden="1" customWidth="1"/>
    <col min="13" max="13" width="12.85546875" hidden="1" customWidth="1"/>
    <col min="14" max="14" width="10.7109375" hidden="1" customWidth="1"/>
    <col min="15" max="15" width="12.28515625" hidden="1" customWidth="1"/>
    <col min="16" max="16" width="0" hidden="1" customWidth="1"/>
    <col min="17" max="17" width="10.5703125" hidden="1" customWidth="1"/>
    <col min="18" max="18" width="14" hidden="1" customWidth="1"/>
  </cols>
  <sheetData>
    <row r="2" spans="2:18">
      <c r="B2" t="s">
        <v>65</v>
      </c>
      <c r="C2" t="s">
        <v>66</v>
      </c>
      <c r="E2" t="s">
        <v>65</v>
      </c>
      <c r="F2" t="s">
        <v>66</v>
      </c>
      <c r="H2" t="s">
        <v>65</v>
      </c>
      <c r="I2" t="s">
        <v>66</v>
      </c>
      <c r="K2" t="s">
        <v>49</v>
      </c>
      <c r="L2" t="s">
        <v>67</v>
      </c>
      <c r="N2" t="s">
        <v>49</v>
      </c>
      <c r="O2" t="s">
        <v>67</v>
      </c>
      <c r="Q2" t="s">
        <v>49</v>
      </c>
      <c r="R2" t="s">
        <v>67</v>
      </c>
    </row>
    <row r="3" spans="2:18">
      <c r="B3" t="s">
        <v>68</v>
      </c>
      <c r="C3" t="s">
        <v>66</v>
      </c>
      <c r="E3" t="s">
        <v>69</v>
      </c>
      <c r="F3" t="b">
        <v>1</v>
      </c>
      <c r="G3" s="4"/>
      <c r="H3" t="s">
        <v>69</v>
      </c>
      <c r="I3" s="6" t="b">
        <v>0</v>
      </c>
      <c r="K3" t="s">
        <v>68</v>
      </c>
      <c r="L3" t="s">
        <v>66</v>
      </c>
      <c r="N3" t="s">
        <v>69</v>
      </c>
      <c r="O3" t="b">
        <v>1</v>
      </c>
      <c r="Q3" t="s">
        <v>70</v>
      </c>
      <c r="R3" t="b">
        <v>0</v>
      </c>
    </row>
    <row r="4" spans="2:18">
      <c r="G4" s="4"/>
      <c r="H4" s="6"/>
      <c r="I4" s="5"/>
    </row>
    <row r="5" spans="2:18">
      <c r="G5" s="4"/>
      <c r="H5" s="6"/>
      <c r="I5" s="5"/>
    </row>
    <row r="6" spans="2:18">
      <c r="B6" t="s">
        <v>59</v>
      </c>
      <c r="C6" s="22">
        <f ca="1">XIRR(C9:C600,B9:B600)</f>
        <v>9.006805121898652E-2</v>
      </c>
      <c r="E6" t="s">
        <v>59</v>
      </c>
      <c r="F6" s="22">
        <f>XIRR(F9:F600,E9:E600)</f>
        <v>7.0316818356513974E-2</v>
      </c>
      <c r="G6" s="4"/>
      <c r="H6" t="s">
        <v>59</v>
      </c>
      <c r="I6" s="22">
        <f ca="1">XIRR(I9:I600,H9:H600)</f>
        <v>9.3488886952400208E-2</v>
      </c>
      <c r="K6" t="s">
        <v>59</v>
      </c>
      <c r="L6" s="22" t="e">
        <f ca="1">XIRR(L9:L600,K9:K600)</f>
        <v>#VALUE!</v>
      </c>
      <c r="N6" t="s">
        <v>59</v>
      </c>
      <c r="O6" s="22" t="e">
        <f>XIRR(O9:O600,N9:N600)</f>
        <v>#VALUE!</v>
      </c>
      <c r="Q6" t="s">
        <v>59</v>
      </c>
      <c r="R6" s="22" t="e">
        <f ca="1">XIRR(R9:R600,Q9:Q600)</f>
        <v>#VALUE!</v>
      </c>
    </row>
    <row r="7" spans="2:18">
      <c r="G7" s="4"/>
      <c r="H7" s="6"/>
      <c r="I7" s="5"/>
    </row>
    <row r="8" spans="2:18" ht="15.75" thickBot="1">
      <c r="B8" s="21" t="s">
        <v>71</v>
      </c>
      <c r="C8" s="21" t="s">
        <v>72</v>
      </c>
      <c r="E8" s="21" t="s">
        <v>71</v>
      </c>
      <c r="F8" s="21" t="s">
        <v>72</v>
      </c>
      <c r="G8" s="4"/>
      <c r="H8" s="21" t="s">
        <v>71</v>
      </c>
      <c r="I8" s="21" t="s">
        <v>72</v>
      </c>
      <c r="K8" s="21" t="s">
        <v>71</v>
      </c>
      <c r="L8" s="21" t="s">
        <v>72</v>
      </c>
      <c r="M8" s="19"/>
      <c r="N8" s="21" t="s">
        <v>71</v>
      </c>
      <c r="O8" s="21" t="s">
        <v>72</v>
      </c>
      <c r="Q8" s="21" t="s">
        <v>71</v>
      </c>
      <c r="R8" s="21" t="s">
        <v>72</v>
      </c>
    </row>
    <row r="9" spans="2:18">
      <c r="B9" s="4" cm="1">
        <f t="array" aca="1" ref="B9:B70" ca="1">_xlfn.VSTACK(
MasterList[Purchase Date],
IF(MasterList[Sales Date]="",TODAY(),MasterList[Sales Date]),
ThirdPartyList[Purchase Date],
IF(ThirdPartyList[Sales Date]="", TODAY(), ThirdPartyList[Sales Date]))</f>
        <v>44287</v>
      </c>
      <c r="C9" s="6" cm="1">
        <f t="array" ref="C9:C70">_xlfn.VSTACK(
-MasterList[Total Investment],
MasterList[Est Net Sales Proceeds],
-ThirdPartyList[Total Investment],
ThirdPartyList[Est Net Sales Proceeds]
)</f>
        <v>-1100000</v>
      </c>
      <c r="E9" s="23" cm="1">
        <f t="array" ref="E9:E40">_xlfn.VSTACK(
_xlfn._xlws.FILTER(MasterList[Purchase Date],MasterList[Realized?]=F3,""),
_xlfn._xlws.FILTER(MasterList[Sales Date],MasterList[Realized?]=F3,""),
_xlfn._xlws.FILTER(ThirdPartyList[Purchase Date], ThirdPartyList[Realized?]=F3, ""),
_xlfn._xlws.FILTER(ThirdPartyList[Sales Date], ThirdPartyList[Realized?]=F3, "")
)</f>
        <v>44050</v>
      </c>
      <c r="F9" s="6" cm="1">
        <f t="array" ref="F9:F40">_xlfn.VSTACK(
_xlfn._xlws.FILTER(-MasterList[Total Investment], MasterList[Realized?]=F3,""),
_xlfn._xlws.FILTER(MasterList[Est Net Sales Proceeds], MasterList[Realized?]=F3,""),
_xlfn._xlws.FILTER(-ThirdPartyList[Total Investment], ThirdPartyList[Realized?] = F3, ""),
_xlfn._xlws.FILTER(ThirdPartyList[Est Net Sales Proceeds], ThirdPartyList[Realized?] = F3, "")
)</f>
        <v>-626000</v>
      </c>
      <c r="G9" s="4"/>
      <c r="H9" s="23" cm="1">
        <f t="array" aca="1" ref="H9:H38" ca="1">_xlfn.VSTACK(
_xlfn._xlws.FILTER(MasterList[Purchase Date],MasterList[Realized?]=I3,""),
IF(ISBLANK(_xlfn._xlws.FILTER(MasterList[Sales Date],MasterList[Realized?]=I3,"")), TODAY(), _xlfn._xlws.FILTER(MasterList[Sales Date],MasterList[Realized?]=I3,"")))</f>
        <v>44287</v>
      </c>
      <c r="I9" s="6" cm="1">
        <f t="array" ref="I9:I38">_xlfn.VSTACK(
_xlfn._xlws.FILTER(-MasterList[Total Investment], MasterList[Realized?]=I3,""),
_xlfn._xlws.FILTER(MasterList[Est Net Sales Proceeds], MasterList[Realized?]=I3,"")
)</f>
        <v>-1100000</v>
      </c>
      <c r="K9" s="16" t="str" cm="1">
        <f t="array" aca="1" ref="K9:K10" ca="1">_xlfn.VSTACK(
_xlfn._xlws.FILTER(MasterList[Purchase Date], MasterList[Entity]=L2, ""),
IF(ISBLANK(_xlfn._xlws.FILTER(MasterList[Sales Date], MasterList[Entity] = L2, "")), TODAY(), _xlfn._xlws.FILTER(MasterList[Sales Date], MasterList[Entity] = L2,""))
)</f>
        <v/>
      </c>
      <c r="L9" s="6" t="str" cm="1">
        <f t="array" ref="L9:L10">_xlfn.VSTACK(
_xlfn._xlws.FILTER(-MasterList[Total Investment], MasterList[Entity] = "Tucson Residential", ""),
_xlfn._xlws.FILTER(MasterList[Est Net Sales Proceeds], MasterList[Entity]= L2, "")
)</f>
        <v/>
      </c>
      <c r="N9" s="16" t="str" cm="1">
        <f t="array" ref="N9:N10">_xlfn.VSTACK(
_xlfn._xlws.FILTER(MasterList[Purchase Date], (MasterList[Entity]=O2)*(MasterList[Realized?]=O3), ""),
_xlfn._xlws.FILTER(MasterList[Sales Date], (MasterList[Entity]=O2)*(MasterList[Realized?]=O3),""))</f>
        <v/>
      </c>
      <c r="O9" s="6" t="str" cm="1">
        <f t="array" ref="O9:O10">_xlfn.VSTACK(
_xlfn._xlws.FILTER(-MasterList[Total Investment], (MasterList[Entity]=O2)*(MasterList[Realized?]=O3), ""),
_xlfn._xlws.FILTER(MasterList[Est Net Sales Proceeds], (MasterList[Entity]=O2)*(MasterList[Realized?]=O3), "")
)</f>
        <v/>
      </c>
      <c r="Q9" s="16" t="str" cm="1">
        <f t="array" aca="1" ref="Q9:Q10" ca="1">_xlfn.VSTACK(
_xlfn._xlws.FILTER(MasterList[Purchase Date], (MasterList[Entity]=R2)*(MasterList[Realized?]=R3), ""),
IF(ISBLANK(_xlfn._xlws.FILTER(MasterList[Sales Date], (MasterList[Entity]=R2)*(MasterList[Realized?]=R3),"")), TODAY(), _xlfn._xlws.FILTER(MasterList[Sales Date], (MasterList[Entity]=R2)*(MasterList[Realized?]=R3),""))
)</f>
        <v/>
      </c>
      <c r="R9" s="6" t="str" cm="1">
        <f t="array" ref="R9:R10">_xlfn.VSTACK(
_xlfn._xlws.FILTER(-MasterList[Total Investment], (MasterList[Entity]=R2)*(MasterList[Realized?]=R3), ""),
_xlfn._xlws.FILTER(MasterList[Est Net Sales Proceeds], (MasterList[Entity]=R2)*(MasterList[Realized?]=R3), "")
)</f>
        <v/>
      </c>
    </row>
    <row r="10" spans="2:18">
      <c r="B10" s="4">
        <f ca="1"/>
        <v>44317</v>
      </c>
      <c r="C10" s="6">
        <v>-900000</v>
      </c>
      <c r="E10" s="4">
        <v>43308</v>
      </c>
      <c r="F10" s="6">
        <v>-606000</v>
      </c>
      <c r="G10" s="4"/>
      <c r="H10" s="16">
        <f ca="1"/>
        <v>44317</v>
      </c>
      <c r="I10" s="6">
        <v>-900000</v>
      </c>
      <c r="K10" s="4" t="str">
        <f ca="1"/>
        <v/>
      </c>
      <c r="L10" s="6" t="str">
        <v/>
      </c>
      <c r="M10" s="9"/>
      <c r="N10" s="4" t="str">
        <v/>
      </c>
      <c r="O10" s="6" t="str">
        <v/>
      </c>
      <c r="Q10" s="16" t="str">
        <f ca="1"/>
        <v/>
      </c>
      <c r="R10" s="6" t="str">
        <v/>
      </c>
    </row>
    <row r="11" spans="2:18">
      <c r="B11" s="4">
        <f ca="1"/>
        <v>44287</v>
      </c>
      <c r="C11" s="6">
        <v>-800000</v>
      </c>
      <c r="E11" s="4">
        <v>44690</v>
      </c>
      <c r="F11" s="6">
        <v>-581246.69999999995</v>
      </c>
      <c r="G11" s="4"/>
      <c r="H11" s="16">
        <f ca="1"/>
        <v>44287</v>
      </c>
      <c r="I11" s="6">
        <v>-800000</v>
      </c>
      <c r="K11" s="4"/>
      <c r="L11" s="6"/>
      <c r="N11" s="4"/>
      <c r="O11" s="6"/>
      <c r="Q11" s="16"/>
      <c r="R11" s="6"/>
    </row>
    <row r="12" spans="2:18">
      <c r="B12" s="4">
        <f ca="1"/>
        <v>42948</v>
      </c>
      <c r="C12" s="6">
        <v>-260714.55000000002</v>
      </c>
      <c r="E12" s="4">
        <v>43615</v>
      </c>
      <c r="F12" s="6">
        <v>-494000</v>
      </c>
      <c r="G12" s="4"/>
      <c r="H12" s="16">
        <f ca="1"/>
        <v>42948</v>
      </c>
      <c r="I12" s="6">
        <v>-260714.55000000002</v>
      </c>
      <c r="K12" s="4"/>
      <c r="L12" s="6"/>
      <c r="N12" s="4"/>
      <c r="O12" s="6"/>
      <c r="Q12" s="16"/>
      <c r="R12" s="6"/>
    </row>
    <row r="13" spans="2:18">
      <c r="B13" s="4">
        <f ca="1"/>
        <v>43070</v>
      </c>
      <c r="C13" s="6">
        <v>-172849.93</v>
      </c>
      <c r="E13" s="4">
        <v>43474</v>
      </c>
      <c r="F13" s="6">
        <v>-415000</v>
      </c>
      <c r="G13" s="4"/>
      <c r="H13" s="16">
        <f ca="1"/>
        <v>43070</v>
      </c>
      <c r="I13" s="6">
        <v>-172849.93</v>
      </c>
      <c r="K13" s="4"/>
      <c r="L13" s="6"/>
      <c r="N13" s="4"/>
      <c r="O13" s="6"/>
      <c r="Q13" s="16"/>
      <c r="R13" s="6"/>
    </row>
    <row r="14" spans="2:18">
      <c r="B14" s="4">
        <f ca="1"/>
        <v>44050</v>
      </c>
      <c r="C14" s="6">
        <v>-626000</v>
      </c>
      <c r="E14" s="4">
        <v>43697</v>
      </c>
      <c r="F14" s="6">
        <v>-388000</v>
      </c>
      <c r="G14" s="4"/>
      <c r="H14" s="16">
        <f ca="1"/>
        <v>42979</v>
      </c>
      <c r="I14" s="6">
        <v>-134800</v>
      </c>
      <c r="K14" s="4"/>
      <c r="L14" s="6"/>
      <c r="N14" s="4"/>
      <c r="O14" s="6"/>
      <c r="Q14" s="16"/>
      <c r="R14" s="6"/>
    </row>
    <row r="15" spans="2:18">
      <c r="B15" s="4">
        <f ca="1"/>
        <v>43308</v>
      </c>
      <c r="C15" s="6">
        <v>-606000</v>
      </c>
      <c r="E15" s="4">
        <v>44687</v>
      </c>
      <c r="F15" s="6">
        <v>-327679.13</v>
      </c>
      <c r="G15" s="4"/>
      <c r="H15" s="16">
        <f ca="1"/>
        <v>42948</v>
      </c>
      <c r="I15" s="6">
        <v>-123677.59</v>
      </c>
      <c r="K15" s="4"/>
      <c r="L15" s="6"/>
      <c r="N15" s="4"/>
      <c r="O15" s="6"/>
      <c r="Q15" s="16"/>
      <c r="R15" s="6"/>
    </row>
    <row r="16" spans="2:18">
      <c r="B16" s="4">
        <f ca="1"/>
        <v>42979</v>
      </c>
      <c r="C16" s="6">
        <v>-134800</v>
      </c>
      <c r="E16" s="4">
        <v>43237</v>
      </c>
      <c r="F16" s="6">
        <v>-322000</v>
      </c>
      <c r="G16" s="4"/>
      <c r="H16" s="16">
        <f ca="1"/>
        <v>43739</v>
      </c>
      <c r="I16" s="6">
        <v>-442000</v>
      </c>
      <c r="K16" s="4"/>
      <c r="L16" s="6"/>
      <c r="N16" s="4"/>
      <c r="O16" s="6"/>
      <c r="Q16" s="16"/>
      <c r="R16" s="6"/>
    </row>
    <row r="17" spans="2:18">
      <c r="B17" s="4">
        <f ca="1"/>
        <v>42948</v>
      </c>
      <c r="C17" s="6">
        <v>-123677.59</v>
      </c>
      <c r="E17" s="4">
        <v>44596</v>
      </c>
      <c r="F17" s="6">
        <v>821750</v>
      </c>
      <c r="G17" s="4"/>
      <c r="H17" s="16">
        <f ca="1"/>
        <v>43332</v>
      </c>
      <c r="I17" s="6">
        <v>-333000</v>
      </c>
      <c r="K17" s="4"/>
      <c r="L17" s="6"/>
      <c r="N17" s="4"/>
      <c r="O17" s="6"/>
      <c r="Q17" s="16"/>
      <c r="R17" s="6"/>
    </row>
    <row r="18" spans="2:18">
      <c r="B18" s="4">
        <f ca="1"/>
        <v>43739</v>
      </c>
      <c r="C18" s="6">
        <v>-442000</v>
      </c>
      <c r="E18" s="4">
        <v>44159</v>
      </c>
      <c r="F18" s="6">
        <v>517750</v>
      </c>
      <c r="G18" s="4"/>
      <c r="H18" s="16">
        <f ca="1"/>
        <v>43294</v>
      </c>
      <c r="I18" s="6">
        <v>-326000</v>
      </c>
      <c r="K18" s="4"/>
      <c r="L18" s="6"/>
      <c r="N18" s="4"/>
      <c r="O18" s="6"/>
      <c r="Q18" s="16"/>
      <c r="R18" s="6"/>
    </row>
    <row r="19" spans="2:18">
      <c r="B19" s="4">
        <f ca="1"/>
        <v>44690</v>
      </c>
      <c r="C19" s="6">
        <v>-581246.69999999995</v>
      </c>
      <c r="E19" s="4">
        <v>44736</v>
      </c>
      <c r="F19" s="6">
        <v>591810.17599999998</v>
      </c>
      <c r="G19" s="4"/>
      <c r="H19" s="16">
        <f ca="1"/>
        <v>43332</v>
      </c>
      <c r="I19" s="6">
        <v>-321000</v>
      </c>
      <c r="K19" s="4"/>
      <c r="L19" s="6"/>
      <c r="N19" s="4"/>
      <c r="O19" s="6"/>
      <c r="Q19" s="16"/>
      <c r="R19" s="6"/>
    </row>
    <row r="20" spans="2:18">
      <c r="B20" s="4">
        <f ca="1"/>
        <v>43615</v>
      </c>
      <c r="C20" s="6">
        <v>-494000</v>
      </c>
      <c r="E20" s="4">
        <v>43742</v>
      </c>
      <c r="F20" s="6">
        <v>498750</v>
      </c>
      <c r="G20" s="4"/>
      <c r="H20" s="16">
        <f ca="1"/>
        <v>43280</v>
      </c>
      <c r="I20" s="6">
        <v>-297000</v>
      </c>
      <c r="K20" s="4"/>
      <c r="L20" s="6"/>
      <c r="N20" s="4"/>
      <c r="O20" s="6"/>
      <c r="Q20" s="16"/>
      <c r="R20" s="6"/>
    </row>
    <row r="21" spans="2:18">
      <c r="B21" s="4">
        <f ca="1"/>
        <v>43332</v>
      </c>
      <c r="C21" s="6">
        <v>-333000</v>
      </c>
      <c r="E21" s="4">
        <v>43955</v>
      </c>
      <c r="F21" s="6">
        <v>445075</v>
      </c>
      <c r="G21" s="4"/>
      <c r="H21" s="16">
        <f ca="1"/>
        <v>43580</v>
      </c>
      <c r="I21" s="6">
        <v>-241000</v>
      </c>
      <c r="K21" s="4"/>
      <c r="L21" s="6"/>
      <c r="N21" s="4"/>
      <c r="O21" s="6"/>
      <c r="Q21" s="16"/>
      <c r="R21" s="6"/>
    </row>
    <row r="22" spans="2:18">
      <c r="B22" s="4">
        <f ca="1"/>
        <v>43294</v>
      </c>
      <c r="C22" s="6">
        <v>-326000</v>
      </c>
      <c r="E22" s="4">
        <v>43934</v>
      </c>
      <c r="F22" s="6">
        <v>390925</v>
      </c>
      <c r="G22" s="4"/>
      <c r="H22" s="16">
        <f ca="1"/>
        <v>43692</v>
      </c>
      <c r="I22" s="6">
        <v>-218000</v>
      </c>
      <c r="K22" s="4"/>
      <c r="L22" s="6"/>
      <c r="N22" s="4"/>
      <c r="O22" s="6"/>
      <c r="Q22" s="16"/>
      <c r="R22" s="6"/>
    </row>
    <row r="23" spans="2:18">
      <c r="B23" s="4">
        <f ca="1"/>
        <v>43474</v>
      </c>
      <c r="C23" s="6">
        <v>-415000</v>
      </c>
      <c r="E23" s="4">
        <v>44840</v>
      </c>
      <c r="F23" s="6">
        <v>342000</v>
      </c>
      <c r="G23" s="4"/>
      <c r="H23" s="16">
        <f ca="1"/>
        <v>43329</v>
      </c>
      <c r="I23" s="6">
        <v>-215000</v>
      </c>
      <c r="K23" s="4"/>
      <c r="L23" s="6"/>
      <c r="N23" s="4"/>
      <c r="O23" s="6"/>
      <c r="Q23" s="16"/>
      <c r="R23" s="6"/>
    </row>
    <row r="24" spans="2:18">
      <c r="B24" s="4">
        <f ca="1"/>
        <v>43697</v>
      </c>
      <c r="C24" s="6">
        <v>-388000</v>
      </c>
      <c r="E24" s="4">
        <v>43572</v>
      </c>
      <c r="F24" s="6">
        <v>351500</v>
      </c>
      <c r="G24" s="4"/>
      <c r="H24" s="16">
        <f ca="1"/>
        <v>45337</v>
      </c>
      <c r="I24" s="6">
        <v>1686250</v>
      </c>
      <c r="K24" s="4"/>
      <c r="L24" s="6"/>
      <c r="N24" s="4"/>
      <c r="O24" s="6"/>
      <c r="Q24" s="16"/>
      <c r="R24" s="6"/>
    </row>
    <row r="25" spans="2:18">
      <c r="B25" s="4">
        <f ca="1"/>
        <v>43332</v>
      </c>
      <c r="C25" s="6">
        <v>-321000</v>
      </c>
      <c r="E25" s="4">
        <v>44665</v>
      </c>
      <c r="F25" s="6">
        <v>-243177.43</v>
      </c>
      <c r="G25" s="4"/>
      <c r="H25" s="16">
        <f ca="1"/>
        <v>45337</v>
      </c>
      <c r="I25" s="6">
        <v>1007000</v>
      </c>
      <c r="K25" s="4"/>
      <c r="L25" s="6"/>
      <c r="N25" s="4"/>
      <c r="O25" s="6"/>
      <c r="Q25" s="16"/>
      <c r="R25" s="6"/>
    </row>
    <row r="26" spans="2:18">
      <c r="B26" s="4">
        <f ca="1"/>
        <v>43280</v>
      </c>
      <c r="C26" s="6">
        <v>-297000</v>
      </c>
      <c r="E26" s="4">
        <v>44691</v>
      </c>
      <c r="F26" s="6">
        <v>-135078.84</v>
      </c>
      <c r="G26" s="4"/>
      <c r="H26" s="16">
        <f ca="1"/>
        <v>45337</v>
      </c>
      <c r="I26" s="6">
        <v>1567500</v>
      </c>
      <c r="K26" s="4"/>
      <c r="L26" s="6"/>
      <c r="N26" s="4"/>
      <c r="O26" s="6"/>
      <c r="Q26" s="16"/>
      <c r="R26" s="6"/>
    </row>
    <row r="27" spans="2:18">
      <c r="B27" s="4">
        <f ca="1"/>
        <v>43580</v>
      </c>
      <c r="C27" s="6">
        <v>-241000</v>
      </c>
      <c r="E27" s="4">
        <v>44694</v>
      </c>
      <c r="F27" s="6">
        <v>-254571.1</v>
      </c>
      <c r="G27" s="4"/>
      <c r="H27" s="16">
        <f ca="1"/>
        <v>45337</v>
      </c>
      <c r="I27" s="6">
        <v>356250</v>
      </c>
      <c r="K27" s="4"/>
      <c r="L27" s="6"/>
      <c r="N27" s="4"/>
      <c r="O27" s="6"/>
      <c r="Q27" s="16"/>
      <c r="R27" s="6"/>
    </row>
    <row r="28" spans="2:18">
      <c r="B28" s="4">
        <f ca="1"/>
        <v>43692</v>
      </c>
      <c r="C28" s="6">
        <v>-218000</v>
      </c>
      <c r="E28" s="4">
        <v>44694</v>
      </c>
      <c r="F28" s="6">
        <v>-187955.63</v>
      </c>
      <c r="G28" s="4"/>
      <c r="H28" s="16">
        <f ca="1"/>
        <v>45337</v>
      </c>
      <c r="I28" s="6">
        <v>308750</v>
      </c>
      <c r="K28" s="4"/>
      <c r="L28" s="6"/>
      <c r="N28" s="4"/>
      <c r="O28" s="6"/>
      <c r="Q28" s="16"/>
      <c r="R28" s="6"/>
    </row>
    <row r="29" spans="2:18">
      <c r="B29" s="4">
        <f ca="1"/>
        <v>44687</v>
      </c>
      <c r="C29" s="6">
        <v>-327679.13</v>
      </c>
      <c r="E29" s="4">
        <v>44697</v>
      </c>
      <c r="F29" s="6">
        <v>-326891.14</v>
      </c>
      <c r="G29" s="4"/>
      <c r="H29" s="16">
        <f ca="1"/>
        <v>45337</v>
      </c>
      <c r="I29" s="6">
        <v>251750</v>
      </c>
      <c r="K29" s="4"/>
      <c r="L29" s="6"/>
      <c r="N29" s="4"/>
      <c r="O29" s="6"/>
      <c r="Q29" s="16"/>
      <c r="R29" s="6"/>
    </row>
    <row r="30" spans="2:18">
      <c r="B30" s="4">
        <f ca="1"/>
        <v>43329</v>
      </c>
      <c r="C30" s="6">
        <v>-215000</v>
      </c>
      <c r="E30" s="4">
        <v>44700</v>
      </c>
      <c r="F30" s="6">
        <v>-449465.42</v>
      </c>
      <c r="G30" s="4"/>
      <c r="H30" s="16">
        <f ca="1"/>
        <v>45337</v>
      </c>
      <c r="I30" s="6">
        <v>237500</v>
      </c>
      <c r="K30" s="4"/>
      <c r="L30" s="6"/>
      <c r="N30" s="4"/>
      <c r="O30" s="6"/>
      <c r="Q30" s="16"/>
      <c r="R30" s="6"/>
    </row>
    <row r="31" spans="2:18">
      <c r="B31" s="4">
        <f ca="1"/>
        <v>43237</v>
      </c>
      <c r="C31" s="6">
        <v>-322000</v>
      </c>
      <c r="E31" s="4">
        <v>44701</v>
      </c>
      <c r="F31" s="6">
        <v>-272063.94</v>
      </c>
      <c r="G31" s="4"/>
      <c r="H31" s="16">
        <f ca="1"/>
        <v>45337</v>
      </c>
      <c r="I31" s="6">
        <v>568100</v>
      </c>
      <c r="K31" s="4"/>
      <c r="L31" s="6"/>
      <c r="N31" s="4"/>
      <c r="O31" s="6"/>
      <c r="Q31" s="16"/>
      <c r="R31" s="6"/>
    </row>
    <row r="32" spans="2:18">
      <c r="B32" s="4">
        <f ca="1"/>
        <v>45337</v>
      </c>
      <c r="C32" s="6">
        <v>1686250</v>
      </c>
      <c r="E32" s="4">
        <v>44706</v>
      </c>
      <c r="F32" s="6">
        <v>-200469.05</v>
      </c>
      <c r="G32" s="4"/>
      <c r="H32" s="16">
        <f ca="1"/>
        <v>45337</v>
      </c>
      <c r="I32" s="6">
        <v>427500</v>
      </c>
      <c r="K32" s="4"/>
      <c r="L32" s="6"/>
      <c r="N32" s="4"/>
      <c r="O32" s="6"/>
      <c r="Q32" s="16"/>
      <c r="R32" s="6"/>
    </row>
    <row r="33" spans="2:18">
      <c r="B33" s="4">
        <f ca="1"/>
        <v>45337</v>
      </c>
      <c r="C33" s="6">
        <v>1007000</v>
      </c>
      <c r="E33" s="4">
        <v>44734</v>
      </c>
      <c r="F33" s="6">
        <v>271600</v>
      </c>
      <c r="G33" s="4"/>
      <c r="H33" s="16">
        <f ca="1"/>
        <v>45337</v>
      </c>
      <c r="I33" s="6">
        <v>427500</v>
      </c>
      <c r="K33" s="4"/>
      <c r="L33" s="6"/>
      <c r="N33" s="4"/>
      <c r="O33" s="6"/>
      <c r="Q33" s="16"/>
      <c r="R33" s="6"/>
    </row>
    <row r="34" spans="2:18">
      <c r="B34" s="4">
        <f ca="1"/>
        <v>45337</v>
      </c>
      <c r="C34" s="6">
        <v>1567500</v>
      </c>
      <c r="E34" s="4">
        <v>44733</v>
      </c>
      <c r="F34" s="6">
        <v>147440</v>
      </c>
      <c r="G34" s="4"/>
      <c r="H34" s="16">
        <f ca="1"/>
        <v>45337</v>
      </c>
      <c r="I34" s="6">
        <v>427500</v>
      </c>
      <c r="K34" s="4"/>
      <c r="L34" s="6"/>
      <c r="N34" s="4"/>
      <c r="O34" s="6"/>
      <c r="Q34" s="16"/>
      <c r="R34" s="6"/>
    </row>
    <row r="35" spans="2:18">
      <c r="B35" s="4">
        <f ca="1"/>
        <v>45337</v>
      </c>
      <c r="C35" s="6">
        <v>356250</v>
      </c>
      <c r="E35" s="4">
        <v>44741</v>
      </c>
      <c r="F35" s="6">
        <v>271600</v>
      </c>
      <c r="G35" s="4"/>
      <c r="H35" s="16">
        <f ca="1"/>
        <v>45337</v>
      </c>
      <c r="I35" s="6">
        <v>403750</v>
      </c>
      <c r="K35" s="4"/>
      <c r="L35" s="6"/>
      <c r="N35" s="4"/>
      <c r="O35" s="6"/>
      <c r="Q35" s="16"/>
      <c r="R35" s="6"/>
    </row>
    <row r="36" spans="2:18">
      <c r="B36" s="4">
        <f ca="1"/>
        <v>45337</v>
      </c>
      <c r="C36" s="6">
        <v>308750</v>
      </c>
      <c r="E36" s="4">
        <v>44726</v>
      </c>
      <c r="F36" s="6">
        <v>205640</v>
      </c>
      <c r="G36" s="4"/>
      <c r="H36" s="16">
        <f ca="1"/>
        <v>45337</v>
      </c>
      <c r="I36" s="6">
        <v>308750</v>
      </c>
      <c r="K36" s="4"/>
      <c r="L36" s="6"/>
      <c r="N36" s="4"/>
      <c r="O36" s="6"/>
      <c r="Q36" s="16"/>
      <c r="R36" s="6"/>
    </row>
    <row r="37" spans="2:18">
      <c r="B37" s="4">
        <f ca="1"/>
        <v>44596</v>
      </c>
      <c r="C37" s="6">
        <v>821750</v>
      </c>
      <c r="E37" s="4">
        <v>44727</v>
      </c>
      <c r="F37" s="6">
        <v>349200</v>
      </c>
      <c r="G37" s="4"/>
      <c r="H37" s="16">
        <f ca="1"/>
        <v>45337</v>
      </c>
      <c r="I37" s="6">
        <v>365750</v>
      </c>
      <c r="K37" s="4"/>
      <c r="L37" s="6"/>
      <c r="N37" s="4"/>
      <c r="O37" s="6"/>
      <c r="Q37" s="16"/>
      <c r="R37" s="6"/>
    </row>
    <row r="38" spans="2:18">
      <c r="B38" s="4">
        <f ca="1"/>
        <v>44159</v>
      </c>
      <c r="C38" s="6">
        <v>517750</v>
      </c>
      <c r="E38" s="4">
        <v>44823</v>
      </c>
      <c r="F38" s="6">
        <v>445230</v>
      </c>
      <c r="G38" s="4"/>
      <c r="H38" s="16">
        <f ca="1"/>
        <v>45337</v>
      </c>
      <c r="I38" s="6">
        <v>299250</v>
      </c>
      <c r="K38" s="4"/>
      <c r="L38" s="6"/>
      <c r="N38" s="4"/>
      <c r="O38" s="6"/>
      <c r="Q38" s="16"/>
      <c r="R38" s="6"/>
    </row>
    <row r="39" spans="2:18">
      <c r="B39" s="4">
        <f ca="1"/>
        <v>45337</v>
      </c>
      <c r="C39" s="6">
        <v>251750</v>
      </c>
      <c r="E39" s="4">
        <v>44721</v>
      </c>
      <c r="F39" s="6">
        <v>289060</v>
      </c>
      <c r="G39" s="4"/>
      <c r="H39" s="16"/>
      <c r="I39" s="6"/>
      <c r="K39" s="4"/>
      <c r="L39" s="6"/>
      <c r="N39" s="4"/>
      <c r="O39" s="6"/>
      <c r="Q39" s="16"/>
      <c r="R39" s="6"/>
    </row>
    <row r="40" spans="2:18">
      <c r="B40" s="4">
        <f ca="1"/>
        <v>45337</v>
      </c>
      <c r="C40" s="6">
        <v>237500</v>
      </c>
      <c r="E40" s="4">
        <v>44755</v>
      </c>
      <c r="F40" s="6">
        <v>208550</v>
      </c>
      <c r="G40" s="4"/>
      <c r="H40" s="16"/>
      <c r="I40" s="6"/>
      <c r="K40" s="4"/>
      <c r="L40" s="6"/>
      <c r="N40" s="4"/>
      <c r="O40" s="6"/>
      <c r="Q40" s="16"/>
      <c r="R40" s="6"/>
    </row>
    <row r="41" spans="2:18">
      <c r="B41" s="4">
        <f ca="1"/>
        <v>45337</v>
      </c>
      <c r="C41" s="6">
        <v>568100</v>
      </c>
      <c r="E41" s="4"/>
      <c r="F41" s="6"/>
      <c r="G41" s="4"/>
      <c r="H41" s="16"/>
      <c r="I41" s="6"/>
      <c r="K41" s="4"/>
      <c r="L41" s="6"/>
      <c r="N41" s="4"/>
      <c r="O41" s="6"/>
    </row>
    <row r="42" spans="2:18">
      <c r="B42" s="4">
        <f ca="1"/>
        <v>44736</v>
      </c>
      <c r="C42" s="6">
        <v>591810.17599999998</v>
      </c>
      <c r="E42" s="4"/>
      <c r="F42" s="6"/>
      <c r="G42" s="4"/>
      <c r="H42" s="16"/>
      <c r="I42" s="6"/>
      <c r="K42" s="4"/>
      <c r="L42" s="6"/>
      <c r="N42" s="4"/>
      <c r="O42" s="6"/>
    </row>
    <row r="43" spans="2:18">
      <c r="B43" s="4">
        <f ca="1"/>
        <v>43742</v>
      </c>
      <c r="C43" s="6">
        <v>498750</v>
      </c>
      <c r="E43" s="4"/>
      <c r="F43" s="6"/>
      <c r="G43" s="4"/>
      <c r="H43" s="16"/>
      <c r="I43" s="6"/>
      <c r="K43" s="4"/>
      <c r="L43" s="6"/>
      <c r="N43" s="4"/>
      <c r="O43" s="6"/>
    </row>
    <row r="44" spans="2:18">
      <c r="B44" s="4">
        <f ca="1"/>
        <v>45337</v>
      </c>
      <c r="C44" s="6">
        <v>427500</v>
      </c>
      <c r="E44" s="4"/>
      <c r="F44" s="6"/>
      <c r="G44" s="4"/>
      <c r="H44" s="16"/>
      <c r="I44" s="6"/>
      <c r="K44" s="4"/>
      <c r="L44" s="6"/>
      <c r="N44" s="4"/>
      <c r="O44" s="6"/>
    </row>
    <row r="45" spans="2:18">
      <c r="B45" s="4">
        <f ca="1"/>
        <v>45337</v>
      </c>
      <c r="C45" s="6">
        <v>427500</v>
      </c>
      <c r="E45" s="4"/>
      <c r="F45" s="6"/>
      <c r="G45" s="4"/>
      <c r="H45" s="16"/>
      <c r="I45" s="6"/>
      <c r="K45" s="4"/>
      <c r="L45" s="6"/>
      <c r="N45" s="4"/>
      <c r="O45" s="6"/>
    </row>
    <row r="46" spans="2:18">
      <c r="B46" s="4">
        <f ca="1"/>
        <v>43955</v>
      </c>
      <c r="C46" s="6">
        <v>445075</v>
      </c>
      <c r="E46" s="4"/>
      <c r="F46" s="6"/>
      <c r="G46" s="4"/>
      <c r="H46" s="16"/>
      <c r="I46" s="6"/>
      <c r="K46" s="4"/>
      <c r="L46" s="6"/>
      <c r="N46" s="4"/>
      <c r="O46" s="6"/>
    </row>
    <row r="47" spans="2:18">
      <c r="B47" s="4">
        <f ca="1"/>
        <v>43934</v>
      </c>
      <c r="C47" s="6">
        <v>390925</v>
      </c>
      <c r="E47" s="4"/>
      <c r="F47" s="6"/>
      <c r="G47" s="4"/>
      <c r="H47" s="16"/>
      <c r="I47" s="6"/>
      <c r="K47" s="4"/>
      <c r="L47" s="6"/>
      <c r="N47" s="4"/>
      <c r="O47" s="6"/>
    </row>
    <row r="48" spans="2:18">
      <c r="B48" s="4">
        <f ca="1"/>
        <v>45337</v>
      </c>
      <c r="C48" s="6">
        <v>427500</v>
      </c>
      <c r="E48" s="4"/>
      <c r="F48" s="6"/>
      <c r="G48" s="4"/>
      <c r="H48" s="16"/>
      <c r="I48" s="6"/>
      <c r="K48" s="4"/>
      <c r="L48" s="6"/>
      <c r="N48" s="4"/>
      <c r="O48" s="6"/>
    </row>
    <row r="49" spans="2:15">
      <c r="B49" s="4">
        <f ca="1"/>
        <v>45337</v>
      </c>
      <c r="C49" s="6">
        <v>403750</v>
      </c>
      <c r="E49" s="4"/>
      <c r="F49" s="6"/>
      <c r="G49" s="4"/>
      <c r="H49" s="16"/>
      <c r="I49" s="6"/>
      <c r="K49" s="4"/>
      <c r="L49" s="6"/>
      <c r="N49" s="4"/>
      <c r="O49" s="6"/>
    </row>
    <row r="50" spans="2:15">
      <c r="B50" s="4">
        <f ca="1"/>
        <v>45337</v>
      </c>
      <c r="C50" s="6">
        <v>308750</v>
      </c>
      <c r="E50" s="4"/>
      <c r="F50" s="6"/>
      <c r="G50" s="4"/>
      <c r="H50" s="16"/>
      <c r="I50" s="6"/>
      <c r="K50" s="4"/>
      <c r="L50" s="6"/>
      <c r="N50" s="4"/>
      <c r="O50" s="6"/>
    </row>
    <row r="51" spans="2:15">
      <c r="B51" s="4">
        <f ca="1"/>
        <v>45337</v>
      </c>
      <c r="C51" s="6">
        <v>365750</v>
      </c>
      <c r="E51" s="4"/>
      <c r="F51" s="6"/>
      <c r="G51" s="4"/>
      <c r="H51" s="16"/>
      <c r="I51" s="6"/>
      <c r="K51" s="4"/>
      <c r="L51" s="6"/>
      <c r="N51" s="4"/>
      <c r="O51" s="6"/>
    </row>
    <row r="52" spans="2:15">
      <c r="B52" s="4">
        <f ca="1"/>
        <v>44840</v>
      </c>
      <c r="C52" s="6">
        <v>342000</v>
      </c>
      <c r="E52" s="4"/>
      <c r="F52" s="6"/>
      <c r="G52" s="4"/>
      <c r="H52" s="16"/>
      <c r="I52" s="6"/>
      <c r="K52" s="4"/>
      <c r="L52" s="6"/>
      <c r="N52" s="4"/>
      <c r="O52" s="6"/>
    </row>
    <row r="53" spans="2:15">
      <c r="B53" s="4">
        <f ca="1"/>
        <v>45337</v>
      </c>
      <c r="C53" s="6">
        <v>299250</v>
      </c>
      <c r="E53" s="4"/>
      <c r="F53" s="6"/>
      <c r="G53" s="4"/>
      <c r="H53" s="16"/>
      <c r="I53" s="6"/>
      <c r="K53" s="4"/>
      <c r="L53" s="6"/>
      <c r="N53" s="4"/>
      <c r="O53" s="6"/>
    </row>
    <row r="54" spans="2:15">
      <c r="B54" s="4">
        <f ca="1"/>
        <v>43572</v>
      </c>
      <c r="C54" s="6">
        <v>351500</v>
      </c>
      <c r="E54" s="4"/>
      <c r="F54" s="6"/>
      <c r="G54" s="4"/>
      <c r="H54" s="16"/>
      <c r="I54" s="6"/>
      <c r="K54" s="4"/>
      <c r="L54" s="6"/>
      <c r="N54" s="4"/>
      <c r="O54" s="6"/>
    </row>
    <row r="55" spans="2:15">
      <c r="B55" s="4">
        <f ca="1"/>
        <v>44665</v>
      </c>
      <c r="C55" s="6">
        <v>-243177.43</v>
      </c>
      <c r="E55" s="4"/>
      <c r="F55" s="6"/>
      <c r="G55" s="4"/>
      <c r="H55" s="16"/>
      <c r="I55" s="6"/>
      <c r="K55" s="4"/>
      <c r="L55" s="6"/>
      <c r="N55" s="4"/>
      <c r="O55" s="6"/>
    </row>
    <row r="56" spans="2:15">
      <c r="B56" s="4">
        <f ca="1"/>
        <v>44691</v>
      </c>
      <c r="C56" s="6">
        <v>-135078.84</v>
      </c>
      <c r="E56" s="4"/>
      <c r="F56" s="6"/>
      <c r="G56" s="4"/>
      <c r="H56" s="16"/>
      <c r="I56" s="6"/>
      <c r="K56" s="4"/>
      <c r="L56" s="6"/>
      <c r="N56" s="4"/>
      <c r="O56" s="6"/>
    </row>
    <row r="57" spans="2:15">
      <c r="B57" s="4">
        <f ca="1"/>
        <v>44694</v>
      </c>
      <c r="C57" s="6">
        <v>-254571.1</v>
      </c>
      <c r="E57" s="4"/>
      <c r="F57" s="6"/>
      <c r="G57" s="4"/>
      <c r="H57" s="16"/>
      <c r="I57" s="6"/>
      <c r="K57" s="4"/>
      <c r="L57" s="6"/>
      <c r="N57" s="4"/>
      <c r="O57" s="6"/>
    </row>
    <row r="58" spans="2:15">
      <c r="B58" s="4">
        <f ca="1"/>
        <v>44694</v>
      </c>
      <c r="C58" s="6">
        <v>-187955.63</v>
      </c>
      <c r="E58" s="4"/>
      <c r="F58" s="6"/>
      <c r="G58" s="4"/>
      <c r="H58" s="16"/>
      <c r="I58" s="6"/>
      <c r="K58" s="4"/>
      <c r="L58" s="6"/>
      <c r="N58" s="4"/>
      <c r="O58" s="6"/>
    </row>
    <row r="59" spans="2:15">
      <c r="B59" s="4">
        <f ca="1"/>
        <v>44697</v>
      </c>
      <c r="C59" s="6">
        <v>-326891.14</v>
      </c>
      <c r="E59" s="4"/>
      <c r="F59" s="6"/>
      <c r="G59" s="4"/>
      <c r="H59" s="16"/>
      <c r="I59" s="6"/>
      <c r="K59" s="4"/>
      <c r="L59" s="6"/>
      <c r="N59" s="4"/>
      <c r="O59" s="6"/>
    </row>
    <row r="60" spans="2:15">
      <c r="B60" s="4">
        <f ca="1"/>
        <v>44700</v>
      </c>
      <c r="C60" s="6">
        <v>-449465.42</v>
      </c>
      <c r="E60" s="4"/>
      <c r="F60" s="6"/>
      <c r="G60" s="4"/>
      <c r="H60" s="16"/>
      <c r="I60" s="6"/>
      <c r="K60" s="4"/>
      <c r="L60" s="6"/>
      <c r="N60" s="4"/>
      <c r="O60" s="6"/>
    </row>
    <row r="61" spans="2:15">
      <c r="B61" s="4">
        <f ca="1"/>
        <v>44701</v>
      </c>
      <c r="C61" s="6">
        <v>-272063.94</v>
      </c>
      <c r="E61" s="4"/>
      <c r="F61" s="6"/>
      <c r="G61" s="4"/>
      <c r="H61" s="16"/>
      <c r="I61" s="6"/>
      <c r="K61" s="4"/>
      <c r="L61" s="6"/>
      <c r="N61" s="4"/>
      <c r="O61" s="6"/>
    </row>
    <row r="62" spans="2:15">
      <c r="B62" s="4">
        <f ca="1"/>
        <v>44706</v>
      </c>
      <c r="C62" s="6">
        <v>-200469.05</v>
      </c>
      <c r="E62" s="4"/>
      <c r="F62" s="6"/>
      <c r="G62" s="4"/>
      <c r="H62" s="16"/>
      <c r="I62" s="6"/>
      <c r="K62" s="4"/>
      <c r="L62" s="6"/>
      <c r="N62" s="4"/>
      <c r="O62" s="6"/>
    </row>
    <row r="63" spans="2:15">
      <c r="B63" s="4">
        <f ca="1"/>
        <v>44734</v>
      </c>
      <c r="C63" s="6">
        <v>271600</v>
      </c>
      <c r="E63" s="4"/>
      <c r="F63" s="6"/>
      <c r="G63" s="4"/>
      <c r="H63" s="16"/>
      <c r="I63" s="6"/>
      <c r="K63" s="4"/>
      <c r="L63" s="6"/>
      <c r="N63" s="4"/>
      <c r="O63" s="6"/>
    </row>
    <row r="64" spans="2:15">
      <c r="B64" s="4">
        <f ca="1"/>
        <v>44733</v>
      </c>
      <c r="C64" s="6">
        <v>147440</v>
      </c>
      <c r="E64" s="4"/>
      <c r="F64" s="6"/>
      <c r="G64" s="4"/>
      <c r="H64" s="16"/>
      <c r="I64" s="6"/>
      <c r="K64" s="4"/>
      <c r="L64" s="6"/>
      <c r="N64" s="4"/>
      <c r="O64" s="6"/>
    </row>
    <row r="65" spans="2:15">
      <c r="B65" s="4">
        <f ca="1"/>
        <v>44741</v>
      </c>
      <c r="C65" s="6">
        <v>271600</v>
      </c>
      <c r="E65" s="4"/>
      <c r="F65" s="6"/>
      <c r="G65" s="4"/>
      <c r="H65" s="16"/>
      <c r="I65" s="6"/>
      <c r="K65" s="4"/>
      <c r="L65" s="6"/>
      <c r="N65" s="4"/>
      <c r="O65" s="6"/>
    </row>
    <row r="66" spans="2:15">
      <c r="B66" s="4">
        <f ca="1"/>
        <v>44726</v>
      </c>
      <c r="C66" s="6">
        <v>205640</v>
      </c>
      <c r="E66" s="4"/>
      <c r="F66" s="6"/>
      <c r="G66" s="4"/>
      <c r="H66" s="16"/>
      <c r="I66" s="6"/>
      <c r="K66" s="4"/>
      <c r="L66" s="6"/>
      <c r="N66" s="4"/>
      <c r="O66" s="6"/>
    </row>
    <row r="67" spans="2:15">
      <c r="B67" s="4">
        <f ca="1"/>
        <v>44727</v>
      </c>
      <c r="C67" s="6">
        <v>349200</v>
      </c>
      <c r="E67" s="4"/>
      <c r="F67" s="6"/>
      <c r="G67" s="4"/>
      <c r="H67" s="16"/>
      <c r="I67" s="6"/>
      <c r="K67" s="4"/>
      <c r="L67" s="6"/>
      <c r="N67" s="4"/>
      <c r="O67" s="6"/>
    </row>
    <row r="68" spans="2:15">
      <c r="B68" s="4">
        <f ca="1"/>
        <v>44823</v>
      </c>
      <c r="C68" s="6">
        <v>445230</v>
      </c>
      <c r="E68" s="4"/>
      <c r="F68" s="6"/>
      <c r="G68" s="4"/>
      <c r="H68" s="16"/>
      <c r="I68" s="6"/>
      <c r="K68" s="4"/>
      <c r="L68" s="6"/>
      <c r="N68" s="4"/>
      <c r="O68" s="6"/>
    </row>
    <row r="69" spans="2:15">
      <c r="B69" s="4">
        <f ca="1"/>
        <v>44721</v>
      </c>
      <c r="C69" s="6">
        <v>289060</v>
      </c>
      <c r="E69" s="4"/>
      <c r="F69" s="6"/>
      <c r="G69" s="4"/>
      <c r="H69" s="16"/>
      <c r="I69" s="6"/>
      <c r="K69" s="4"/>
      <c r="L69" s="6"/>
      <c r="N69" s="4"/>
      <c r="O69" s="6"/>
    </row>
    <row r="70" spans="2:15">
      <c r="B70" s="4">
        <f ca="1"/>
        <v>44755</v>
      </c>
      <c r="C70" s="6">
        <v>208550</v>
      </c>
      <c r="E70" s="4"/>
      <c r="F70" s="6"/>
      <c r="G70" s="4"/>
      <c r="H70" s="16"/>
      <c r="I70" s="6"/>
      <c r="K70" s="4"/>
      <c r="L70" s="6"/>
      <c r="N70" s="4"/>
      <c r="O70" s="6"/>
    </row>
    <row r="71" spans="2:15">
      <c r="B71" s="4"/>
      <c r="C71" s="6"/>
      <c r="E71" s="4"/>
      <c r="F71" s="6"/>
      <c r="G71" s="4"/>
      <c r="H71" s="16"/>
      <c r="I71" s="6"/>
      <c r="K71" s="4"/>
      <c r="L71" s="6"/>
      <c r="N71" s="4"/>
      <c r="O71" s="6"/>
    </row>
    <row r="72" spans="2:15">
      <c r="B72" s="4"/>
      <c r="C72" s="6"/>
      <c r="E72" s="4"/>
      <c r="F72" s="6"/>
      <c r="G72" s="4"/>
      <c r="H72" s="16"/>
      <c r="I72" s="6"/>
      <c r="K72" s="4"/>
      <c r="L72" s="6"/>
      <c r="N72" s="4"/>
      <c r="O72" s="6"/>
    </row>
    <row r="73" spans="2:15">
      <c r="B73" s="4"/>
      <c r="C73" s="6"/>
      <c r="E73" s="4"/>
      <c r="F73" s="6"/>
      <c r="G73" s="4"/>
      <c r="H73" s="16"/>
      <c r="I73" s="6"/>
      <c r="K73" s="4"/>
      <c r="L73" s="6"/>
      <c r="N73" s="4"/>
      <c r="O73" s="6"/>
    </row>
    <row r="74" spans="2:15">
      <c r="B74" s="4"/>
      <c r="C74" s="6"/>
      <c r="E74" s="4"/>
      <c r="F74" s="6"/>
      <c r="G74" s="4"/>
      <c r="H74" s="16"/>
      <c r="I74" s="6"/>
      <c r="K74" s="4"/>
      <c r="L74" s="6"/>
      <c r="N74" s="4"/>
      <c r="O74" s="6"/>
    </row>
    <row r="75" spans="2:15">
      <c r="B75" s="4"/>
      <c r="C75" s="6"/>
      <c r="E75" s="4"/>
      <c r="F75" s="6"/>
      <c r="G75" s="4"/>
      <c r="H75" s="16"/>
      <c r="I75" s="6"/>
      <c r="K75" s="4"/>
      <c r="L75" s="6"/>
      <c r="N75" s="4"/>
      <c r="O75" s="6"/>
    </row>
    <row r="76" spans="2:15">
      <c r="B76" s="4"/>
      <c r="C76" s="6"/>
      <c r="E76" s="4"/>
      <c r="F76" s="6"/>
      <c r="G76" s="4"/>
      <c r="H76" s="16"/>
      <c r="I76" s="6"/>
      <c r="K76" s="4"/>
      <c r="L76" s="6"/>
      <c r="N76" s="4"/>
      <c r="O76" s="6"/>
    </row>
    <row r="77" spans="2:15">
      <c r="B77" s="4"/>
      <c r="C77" s="6"/>
      <c r="E77" s="4"/>
      <c r="F77" s="6"/>
      <c r="G77" s="4"/>
      <c r="H77" s="16"/>
      <c r="I77" s="6"/>
      <c r="K77" s="4"/>
      <c r="L77" s="6"/>
      <c r="N77" s="4"/>
      <c r="O77" s="6"/>
    </row>
    <row r="78" spans="2:15">
      <c r="B78" s="4"/>
      <c r="C78" s="6"/>
      <c r="E78" s="4"/>
      <c r="F78" s="6"/>
      <c r="G78" s="4"/>
      <c r="H78" s="16"/>
      <c r="I78" s="6"/>
      <c r="K78" s="4"/>
      <c r="L78" s="6"/>
      <c r="N78" s="4"/>
      <c r="O78" s="6"/>
    </row>
    <row r="79" spans="2:15">
      <c r="B79" s="4"/>
      <c r="C79" s="6"/>
      <c r="E79" s="4"/>
      <c r="F79" s="6"/>
      <c r="G79" s="4"/>
      <c r="H79" s="16"/>
      <c r="I79" s="6"/>
      <c r="K79" s="4"/>
      <c r="L79" s="6"/>
    </row>
    <row r="80" spans="2:15">
      <c r="B80" s="4"/>
      <c r="C80" s="6"/>
      <c r="E80" s="4"/>
      <c r="F80" s="6"/>
      <c r="G80" s="4"/>
      <c r="H80" s="16"/>
      <c r="I80" s="6"/>
      <c r="K80" s="4"/>
      <c r="L80" s="6"/>
    </row>
    <row r="81" spans="2:12">
      <c r="B81" s="4"/>
      <c r="C81" s="6"/>
      <c r="E81" s="4"/>
      <c r="F81" s="6"/>
      <c r="G81" s="4"/>
      <c r="H81" s="16"/>
      <c r="I81" s="6"/>
      <c r="K81" s="4"/>
      <c r="L81" s="6"/>
    </row>
    <row r="82" spans="2:12">
      <c r="B82" s="4"/>
      <c r="C82" s="6"/>
      <c r="E82" s="4"/>
      <c r="F82" s="6"/>
      <c r="G82" s="4"/>
      <c r="H82" s="16"/>
      <c r="I82" s="6"/>
      <c r="K82" s="4"/>
      <c r="L82" s="6"/>
    </row>
    <row r="83" spans="2:12">
      <c r="B83" s="4"/>
      <c r="C83" s="6"/>
      <c r="E83" s="4"/>
      <c r="F83" s="6"/>
      <c r="G83" s="4"/>
      <c r="H83" s="16"/>
      <c r="I83" s="6"/>
      <c r="K83" s="4"/>
      <c r="L83" s="6"/>
    </row>
    <row r="84" spans="2:12">
      <c r="B84" s="4"/>
      <c r="C84" s="6"/>
      <c r="E84" s="4"/>
      <c r="F84" s="6"/>
      <c r="G84" s="4"/>
      <c r="H84" s="16"/>
      <c r="I84" s="6"/>
      <c r="K84" s="4"/>
      <c r="L84" s="6"/>
    </row>
    <row r="85" spans="2:12">
      <c r="B85" s="4"/>
      <c r="C85" s="6"/>
      <c r="E85" s="4"/>
      <c r="F85" s="6"/>
      <c r="G85" s="4"/>
      <c r="H85" s="16"/>
      <c r="I85" s="6"/>
      <c r="K85" s="4"/>
      <c r="L85" s="6"/>
    </row>
    <row r="86" spans="2:12">
      <c r="B86" s="4"/>
      <c r="C86" s="6"/>
      <c r="E86" s="4"/>
      <c r="F86" s="6"/>
      <c r="G86" s="4"/>
      <c r="H86" s="16"/>
      <c r="I86" s="6"/>
      <c r="K86" s="4"/>
      <c r="L86" s="6"/>
    </row>
    <row r="87" spans="2:12">
      <c r="B87" s="4"/>
      <c r="C87" s="6"/>
      <c r="E87" s="4"/>
      <c r="F87" s="6"/>
      <c r="G87" s="4"/>
      <c r="H87" s="16"/>
      <c r="I87" s="6"/>
      <c r="K87" s="4"/>
      <c r="L87" s="6"/>
    </row>
    <row r="88" spans="2:12">
      <c r="B88" s="4"/>
      <c r="C88" s="6"/>
      <c r="E88" s="4"/>
      <c r="F88" s="6"/>
      <c r="G88" s="4"/>
      <c r="H88" s="16"/>
      <c r="I88" s="6"/>
      <c r="K88" s="4"/>
      <c r="L88" s="6"/>
    </row>
    <row r="89" spans="2:12">
      <c r="B89" s="4"/>
      <c r="C89" s="6"/>
      <c r="E89" s="4"/>
      <c r="F89" s="6"/>
      <c r="G89" s="4"/>
      <c r="H89" s="16"/>
      <c r="I89" s="6"/>
      <c r="K89" s="4"/>
      <c r="L89" s="6"/>
    </row>
    <row r="90" spans="2:12">
      <c r="B90" s="4"/>
      <c r="C90" s="6"/>
      <c r="E90" s="4"/>
      <c r="F90" s="6"/>
      <c r="G90" s="4"/>
      <c r="H90" s="16"/>
      <c r="I90" s="6"/>
      <c r="K90" s="4"/>
      <c r="L90" s="6"/>
    </row>
    <row r="91" spans="2:12">
      <c r="B91" s="4"/>
      <c r="C91" s="6"/>
      <c r="E91" s="4"/>
      <c r="F91" s="6"/>
      <c r="G91" s="4"/>
      <c r="H91" s="16"/>
      <c r="I91" s="6"/>
      <c r="K91" s="4"/>
      <c r="L91" s="6"/>
    </row>
    <row r="92" spans="2:12">
      <c r="B92" s="4"/>
      <c r="C92" s="6"/>
      <c r="E92" s="4"/>
      <c r="F92" s="6"/>
      <c r="G92" s="4"/>
      <c r="H92" s="16"/>
      <c r="I92" s="6"/>
      <c r="K92" s="4"/>
      <c r="L92" s="6"/>
    </row>
    <row r="93" spans="2:12">
      <c r="B93" s="4"/>
      <c r="C93" s="6"/>
      <c r="E93" s="4"/>
      <c r="F93" s="6"/>
      <c r="G93" s="4"/>
      <c r="H93" s="16"/>
      <c r="I93" s="6"/>
      <c r="K93" s="4"/>
      <c r="L93" s="6"/>
    </row>
    <row r="94" spans="2:12">
      <c r="B94" s="4"/>
      <c r="C94" s="6"/>
      <c r="E94" s="4"/>
      <c r="F94" s="6"/>
      <c r="G94" s="4"/>
      <c r="H94" s="16"/>
      <c r="I94" s="6"/>
      <c r="K94" s="4"/>
      <c r="L94" s="6"/>
    </row>
    <row r="95" spans="2:12">
      <c r="B95" s="4"/>
      <c r="C95" s="6"/>
      <c r="E95" s="4"/>
      <c r="F95" s="6"/>
      <c r="G95" s="4"/>
      <c r="H95" s="4"/>
      <c r="I95" s="6"/>
      <c r="K95" s="4"/>
      <c r="L95" s="6"/>
    </row>
    <row r="96" spans="2:12">
      <c r="B96" s="4"/>
      <c r="C96" s="6"/>
      <c r="E96" s="4"/>
      <c r="F96" s="6"/>
      <c r="G96" s="4"/>
      <c r="H96" s="16"/>
      <c r="I96" s="6"/>
      <c r="K96" s="4"/>
      <c r="L96" s="6"/>
    </row>
    <row r="97" spans="2:12">
      <c r="B97" s="4"/>
      <c r="C97" s="6"/>
      <c r="E97" s="4"/>
      <c r="F97" s="6"/>
      <c r="G97" s="4"/>
      <c r="H97" s="16"/>
      <c r="I97" s="6"/>
      <c r="K97" s="4"/>
      <c r="L97" s="6"/>
    </row>
    <row r="98" spans="2:12">
      <c r="B98" s="4"/>
      <c r="C98" s="6"/>
      <c r="E98" s="4"/>
      <c r="F98" s="6"/>
      <c r="G98" s="4"/>
      <c r="H98" s="16"/>
      <c r="I98" s="6"/>
      <c r="K98" s="4"/>
      <c r="L98" s="6"/>
    </row>
    <row r="99" spans="2:12">
      <c r="B99" s="4"/>
      <c r="C99" s="6"/>
      <c r="E99" s="4"/>
      <c r="F99" s="6"/>
      <c r="G99" s="4"/>
      <c r="H99" s="16"/>
      <c r="I99" s="6"/>
      <c r="K99" s="4"/>
      <c r="L99" s="6"/>
    </row>
    <row r="100" spans="2:12">
      <c r="B100" s="4"/>
      <c r="C100" s="6"/>
      <c r="E100" s="4"/>
      <c r="F100" s="6"/>
      <c r="G100" s="4"/>
      <c r="H100" s="16"/>
      <c r="I100" s="6"/>
      <c r="K100" s="4"/>
      <c r="L100" s="6"/>
    </row>
    <row r="101" spans="2:12">
      <c r="B101" s="4"/>
      <c r="C101" s="6"/>
      <c r="E101" s="4"/>
      <c r="F101" s="6"/>
      <c r="G101" s="4"/>
      <c r="H101" s="16"/>
      <c r="I101" s="6"/>
      <c r="K101" s="4"/>
      <c r="L101" s="6"/>
    </row>
    <row r="102" spans="2:12">
      <c r="B102" s="4"/>
      <c r="C102" s="6"/>
      <c r="E102" s="4"/>
      <c r="F102" s="6"/>
      <c r="G102" s="4"/>
      <c r="H102" s="16"/>
      <c r="I102" s="6"/>
      <c r="K102" s="4"/>
      <c r="L102" s="6"/>
    </row>
    <row r="103" spans="2:12">
      <c r="B103" s="4"/>
      <c r="C103" s="6"/>
      <c r="E103" s="4"/>
      <c r="F103" s="6"/>
      <c r="G103" s="4"/>
      <c r="H103" s="16"/>
      <c r="I103" s="6"/>
      <c r="K103" s="4"/>
      <c r="L103" s="6"/>
    </row>
    <row r="104" spans="2:12">
      <c r="B104" s="4"/>
      <c r="C104" s="6"/>
      <c r="E104" s="4"/>
      <c r="F104" s="6"/>
      <c r="G104" s="4"/>
      <c r="H104" s="16"/>
      <c r="I104" s="6"/>
      <c r="K104" s="4"/>
      <c r="L104" s="6"/>
    </row>
    <row r="105" spans="2:12">
      <c r="B105" s="4"/>
      <c r="C105" s="6"/>
      <c r="E105" s="4"/>
      <c r="F105" s="6"/>
      <c r="G105" s="4"/>
      <c r="H105" s="16"/>
      <c r="I105" s="6"/>
      <c r="K105" s="4"/>
      <c r="L105" s="6"/>
    </row>
    <row r="106" spans="2:12">
      <c r="B106" s="4"/>
      <c r="C106" s="6"/>
      <c r="E106" s="4"/>
      <c r="F106" s="6"/>
      <c r="G106" s="4"/>
      <c r="H106" s="16"/>
      <c r="I106" s="6"/>
      <c r="K106" s="4"/>
      <c r="L106" s="6"/>
    </row>
    <row r="107" spans="2:12">
      <c r="B107" s="4"/>
      <c r="C107" s="6"/>
      <c r="E107" s="4"/>
      <c r="F107" s="6"/>
      <c r="G107" s="4"/>
      <c r="H107" s="16"/>
      <c r="I107" s="6"/>
      <c r="K107" s="4"/>
      <c r="L107" s="6"/>
    </row>
    <row r="108" spans="2:12">
      <c r="B108" s="4"/>
      <c r="C108" s="6"/>
      <c r="E108" s="4"/>
      <c r="F108" s="6"/>
      <c r="G108" s="4"/>
      <c r="H108" s="16"/>
      <c r="I108" s="6"/>
      <c r="K108" s="4"/>
      <c r="L108" s="6"/>
    </row>
    <row r="109" spans="2:12">
      <c r="B109" s="4"/>
      <c r="C109" s="6"/>
      <c r="F109" s="6"/>
      <c r="G109" s="4"/>
      <c r="H109" s="16"/>
      <c r="I109" s="6"/>
      <c r="K109" s="4"/>
      <c r="L109" s="6"/>
    </row>
    <row r="110" spans="2:12">
      <c r="B110" s="4"/>
      <c r="C110" s="6"/>
      <c r="E110" s="4"/>
      <c r="F110" s="6"/>
      <c r="G110" s="4"/>
      <c r="H110" s="16"/>
      <c r="I110" s="6"/>
      <c r="K110" s="4"/>
      <c r="L110" s="6"/>
    </row>
    <row r="111" spans="2:12">
      <c r="B111" s="4"/>
      <c r="C111" s="6"/>
      <c r="E111" s="4"/>
      <c r="F111" s="6"/>
      <c r="G111" s="4"/>
      <c r="H111" s="16"/>
      <c r="I111" s="6"/>
    </row>
    <row r="112" spans="2:12">
      <c r="B112" s="4"/>
      <c r="C112" s="6"/>
      <c r="E112" s="4"/>
      <c r="F112" s="6"/>
      <c r="G112" s="4"/>
      <c r="H112" s="16"/>
      <c r="I112" s="6"/>
    </row>
    <row r="113" spans="2:9">
      <c r="B113" s="4"/>
      <c r="C113" s="6"/>
      <c r="E113" s="4"/>
      <c r="F113" s="6"/>
      <c r="G113" s="4"/>
      <c r="H113" s="16"/>
      <c r="I113" s="6"/>
    </row>
    <row r="114" spans="2:9">
      <c r="B114" s="4"/>
      <c r="C114" s="6"/>
      <c r="E114" s="4"/>
      <c r="F114" s="6"/>
      <c r="G114" s="4"/>
      <c r="H114" s="16"/>
      <c r="I114" s="6"/>
    </row>
    <row r="115" spans="2:9">
      <c r="B115" s="4"/>
      <c r="C115" s="6"/>
      <c r="E115" s="4"/>
      <c r="F115" s="6"/>
      <c r="G115" s="4"/>
      <c r="H115" s="16"/>
      <c r="I115" s="6"/>
    </row>
    <row r="116" spans="2:9">
      <c r="B116" s="4"/>
      <c r="C116" s="6"/>
      <c r="E116" s="4"/>
      <c r="F116" s="6"/>
      <c r="G116" s="4"/>
      <c r="H116" s="16"/>
      <c r="I116" s="6"/>
    </row>
    <row r="117" spans="2:9">
      <c r="B117" s="4"/>
      <c r="C117" s="6"/>
      <c r="E117" s="4"/>
      <c r="F117" s="6"/>
      <c r="G117" s="4"/>
      <c r="H117" s="16"/>
      <c r="I117" s="6"/>
    </row>
    <row r="118" spans="2:9">
      <c r="B118" s="4"/>
      <c r="C118" s="6"/>
      <c r="E118" s="4"/>
      <c r="F118" s="6"/>
      <c r="G118" s="4"/>
      <c r="H118" s="16"/>
      <c r="I118" s="6"/>
    </row>
    <row r="119" spans="2:9">
      <c r="B119" s="4"/>
      <c r="C119" s="6"/>
      <c r="E119" s="4"/>
      <c r="F119" s="6"/>
      <c r="G119" s="4"/>
      <c r="H119" s="16"/>
      <c r="I119" s="6"/>
    </row>
    <row r="120" spans="2:9">
      <c r="B120" s="4"/>
      <c r="C120" s="6"/>
      <c r="E120" s="4"/>
      <c r="F120" s="6"/>
      <c r="G120" s="4"/>
      <c r="H120" s="16"/>
      <c r="I120" s="6"/>
    </row>
    <row r="121" spans="2:9">
      <c r="B121" s="4"/>
      <c r="C121" s="6"/>
      <c r="E121" s="4"/>
      <c r="F121" s="6"/>
      <c r="G121" s="4"/>
      <c r="H121" s="16"/>
      <c r="I121" s="6"/>
    </row>
    <row r="122" spans="2:9">
      <c r="B122" s="4"/>
      <c r="C122" s="6"/>
      <c r="E122" s="4"/>
      <c r="F122" s="6"/>
      <c r="G122" s="4"/>
      <c r="H122" s="16"/>
      <c r="I122" s="6"/>
    </row>
    <row r="123" spans="2:9">
      <c r="B123" s="4"/>
      <c r="C123" s="6"/>
      <c r="E123" s="4"/>
      <c r="F123" s="6"/>
      <c r="G123" s="4"/>
      <c r="H123" s="16"/>
      <c r="I123" s="6"/>
    </row>
    <row r="124" spans="2:9">
      <c r="B124" s="4"/>
      <c r="C124" s="6"/>
      <c r="E124" s="4"/>
      <c r="F124" s="6"/>
      <c r="G124" s="4"/>
      <c r="H124" s="16"/>
      <c r="I124" s="6"/>
    </row>
    <row r="125" spans="2:9">
      <c r="B125" s="4"/>
      <c r="C125" s="6"/>
      <c r="E125" s="4"/>
      <c r="F125" s="6"/>
      <c r="G125" s="4"/>
      <c r="H125" s="16"/>
      <c r="I125" s="6"/>
    </row>
    <row r="126" spans="2:9">
      <c r="B126" s="4"/>
      <c r="C126" s="6"/>
      <c r="E126" s="4"/>
      <c r="F126" s="6"/>
      <c r="G126" s="4"/>
      <c r="H126" s="16"/>
      <c r="I126" s="6"/>
    </row>
    <row r="127" spans="2:9">
      <c r="B127" s="4"/>
      <c r="C127" s="6"/>
      <c r="E127" s="4"/>
      <c r="F127" s="6"/>
      <c r="G127" s="4"/>
      <c r="H127" s="16"/>
      <c r="I127" s="6"/>
    </row>
    <row r="128" spans="2:9">
      <c r="B128" s="4"/>
      <c r="C128" s="6"/>
      <c r="E128" s="4"/>
      <c r="F128" s="6"/>
      <c r="H128" s="4"/>
      <c r="I128" s="6"/>
    </row>
    <row r="129" spans="2:9">
      <c r="B129" s="4"/>
      <c r="C129" s="6"/>
      <c r="E129" s="4"/>
      <c r="F129" s="6"/>
      <c r="H129" s="4"/>
      <c r="I129" s="6"/>
    </row>
    <row r="130" spans="2:9">
      <c r="B130" s="4"/>
      <c r="C130" s="6"/>
      <c r="E130" s="4"/>
      <c r="F130" s="6"/>
      <c r="H130" s="4"/>
      <c r="I130" s="6"/>
    </row>
    <row r="131" spans="2:9">
      <c r="B131" s="4"/>
      <c r="C131" s="6"/>
      <c r="E131" s="4"/>
      <c r="F131" s="6"/>
      <c r="H131" s="4"/>
      <c r="I131" s="6"/>
    </row>
    <row r="132" spans="2:9">
      <c r="B132" s="4"/>
      <c r="C132" s="6"/>
      <c r="E132" s="4"/>
      <c r="F132" s="6"/>
      <c r="H132" s="4"/>
      <c r="I132" s="6"/>
    </row>
    <row r="133" spans="2:9">
      <c r="B133" s="4"/>
      <c r="C133" s="6"/>
      <c r="E133" s="4"/>
      <c r="F133" s="6"/>
      <c r="H133" s="4"/>
      <c r="I133" s="6"/>
    </row>
    <row r="134" spans="2:9">
      <c r="B134" s="4"/>
      <c r="C134" s="6"/>
      <c r="E134" s="4"/>
      <c r="F134" s="6"/>
      <c r="H134" s="4"/>
      <c r="I134" s="6"/>
    </row>
    <row r="135" spans="2:9">
      <c r="B135" s="4"/>
      <c r="C135" s="6"/>
      <c r="E135" s="4"/>
      <c r="F135" s="6"/>
      <c r="H135" s="4"/>
      <c r="I135" s="6"/>
    </row>
    <row r="136" spans="2:9">
      <c r="B136" s="4"/>
      <c r="C136" s="6"/>
      <c r="E136" s="4"/>
      <c r="F136" s="6"/>
      <c r="H136" s="4"/>
      <c r="I136" s="6"/>
    </row>
    <row r="137" spans="2:9">
      <c r="B137" s="4"/>
      <c r="C137" s="6"/>
      <c r="E137" s="4"/>
      <c r="F137" s="6"/>
      <c r="H137" s="4"/>
      <c r="I137" s="6"/>
    </row>
    <row r="138" spans="2:9">
      <c r="B138" s="4"/>
      <c r="C138" s="6"/>
      <c r="E138" s="4"/>
      <c r="F138" s="6"/>
      <c r="H138" s="4"/>
      <c r="I138" s="6"/>
    </row>
    <row r="139" spans="2:9">
      <c r="B139" s="4"/>
      <c r="C139" s="6"/>
      <c r="E139" s="4"/>
      <c r="F139" s="6"/>
      <c r="H139" s="4"/>
      <c r="I139" s="6"/>
    </row>
    <row r="140" spans="2:9">
      <c r="B140" s="4"/>
      <c r="C140" s="6"/>
      <c r="E140" s="4"/>
      <c r="F140" s="6"/>
      <c r="H140" s="4"/>
      <c r="I140" s="6"/>
    </row>
    <row r="141" spans="2:9">
      <c r="B141" s="4"/>
      <c r="C141" s="6"/>
      <c r="E141" s="4"/>
      <c r="F141" s="6"/>
      <c r="H141" s="4"/>
      <c r="I141" s="6"/>
    </row>
    <row r="142" spans="2:9">
      <c r="B142" s="4"/>
      <c r="C142" s="6"/>
      <c r="E142" s="4"/>
      <c r="F142" s="6"/>
      <c r="H142" s="4"/>
      <c r="I142" s="6"/>
    </row>
    <row r="143" spans="2:9">
      <c r="B143" s="4"/>
      <c r="C143" s="6"/>
      <c r="E143" s="4"/>
      <c r="F143" s="6"/>
      <c r="H143" s="4"/>
      <c r="I143" s="6"/>
    </row>
    <row r="144" spans="2:9">
      <c r="B144" s="4"/>
      <c r="C144" s="6"/>
      <c r="E144" s="4"/>
      <c r="F144" s="6"/>
      <c r="H144" s="4"/>
      <c r="I144" s="6"/>
    </row>
    <row r="145" spans="2:9">
      <c r="B145" s="4"/>
      <c r="C145" s="6"/>
      <c r="E145" s="4"/>
      <c r="F145" s="6"/>
      <c r="H145" s="4"/>
      <c r="I145" s="6"/>
    </row>
    <row r="146" spans="2:9">
      <c r="B146" s="4"/>
      <c r="C146" s="6"/>
      <c r="E146" s="4"/>
      <c r="F146" s="6"/>
      <c r="H146" s="4"/>
      <c r="I146" s="6"/>
    </row>
    <row r="147" spans="2:9">
      <c r="B147" s="4"/>
      <c r="C147" s="6"/>
      <c r="E147" s="4"/>
      <c r="F147" s="6"/>
      <c r="H147" s="4"/>
      <c r="I147" s="6"/>
    </row>
    <row r="148" spans="2:9">
      <c r="B148" s="4"/>
      <c r="C148" s="6"/>
      <c r="E148" s="4"/>
      <c r="F148" s="6"/>
      <c r="H148" s="4"/>
      <c r="I148" s="6"/>
    </row>
    <row r="149" spans="2:9">
      <c r="B149" s="4"/>
      <c r="C149" s="6"/>
      <c r="E149" s="4"/>
      <c r="F149" s="6"/>
      <c r="H149" s="4"/>
      <c r="I149" s="6"/>
    </row>
    <row r="150" spans="2:9">
      <c r="B150" s="4"/>
      <c r="C150" s="6"/>
      <c r="E150" s="4"/>
      <c r="F150" s="6"/>
      <c r="H150" s="4"/>
      <c r="I150" s="6"/>
    </row>
    <row r="151" spans="2:9">
      <c r="B151" s="4"/>
      <c r="C151" s="6"/>
      <c r="E151" s="4"/>
      <c r="F151" s="6"/>
      <c r="H151" s="4"/>
      <c r="I151" s="6"/>
    </row>
    <row r="152" spans="2:9">
      <c r="B152" s="4"/>
      <c r="C152" s="6"/>
      <c r="E152" s="4"/>
      <c r="F152" s="6"/>
      <c r="H152" s="4"/>
      <c r="I152" s="6"/>
    </row>
    <row r="153" spans="2:9">
      <c r="B153" s="4"/>
      <c r="C153" s="6"/>
      <c r="E153" s="4"/>
      <c r="F153" s="6"/>
      <c r="H153" s="4"/>
      <c r="I153" s="6"/>
    </row>
    <row r="154" spans="2:9">
      <c r="B154" s="4"/>
      <c r="C154" s="6"/>
      <c r="E154" s="4"/>
      <c r="F154" s="6"/>
      <c r="H154" s="4"/>
      <c r="I154" s="6"/>
    </row>
    <row r="155" spans="2:9">
      <c r="B155" s="4"/>
      <c r="C155" s="6"/>
      <c r="E155" s="4"/>
      <c r="F155" s="6"/>
      <c r="H155" s="4"/>
      <c r="I155" s="6"/>
    </row>
    <row r="156" spans="2:9">
      <c r="B156" s="4"/>
      <c r="C156" s="6"/>
      <c r="E156" s="4"/>
      <c r="F156" s="6"/>
      <c r="H156" s="4"/>
      <c r="I156" s="6"/>
    </row>
    <row r="157" spans="2:9">
      <c r="B157" s="4"/>
      <c r="C157" s="6"/>
      <c r="E157" s="4"/>
      <c r="F157" s="6"/>
      <c r="H157" s="4"/>
      <c r="I157" s="6"/>
    </row>
    <row r="158" spans="2:9">
      <c r="B158" s="4"/>
      <c r="C158" s="6"/>
      <c r="E158" s="4"/>
      <c r="F158" s="6"/>
      <c r="H158" s="4"/>
      <c r="I158" s="6"/>
    </row>
    <row r="159" spans="2:9">
      <c r="B159" s="4"/>
      <c r="C159" s="6"/>
      <c r="E159" s="4"/>
      <c r="F159" s="6"/>
      <c r="H159" s="4"/>
      <c r="I159" s="6"/>
    </row>
    <row r="160" spans="2:9">
      <c r="B160" s="4"/>
      <c r="C160" s="6"/>
      <c r="E160" s="4"/>
      <c r="F160" s="6"/>
      <c r="H160" s="4"/>
      <c r="I160" s="6"/>
    </row>
    <row r="161" spans="2:9">
      <c r="B161" s="4"/>
      <c r="C161" s="6"/>
      <c r="E161" s="4"/>
      <c r="F161" s="6"/>
      <c r="H161" s="4"/>
      <c r="I161" s="6"/>
    </row>
    <row r="162" spans="2:9">
      <c r="B162" s="4"/>
      <c r="C162" s="6"/>
      <c r="E162" s="4"/>
      <c r="F162" s="6"/>
      <c r="H162" s="4"/>
      <c r="I162" s="6"/>
    </row>
    <row r="163" spans="2:9">
      <c r="B163" s="4"/>
      <c r="C163" s="6"/>
      <c r="E163" s="4"/>
      <c r="F163" s="6"/>
      <c r="H163" s="4"/>
      <c r="I163" s="6"/>
    </row>
    <row r="164" spans="2:9">
      <c r="B164" s="4"/>
      <c r="C164" s="6"/>
      <c r="E164" s="4"/>
      <c r="F164" s="6"/>
      <c r="H164" s="4"/>
      <c r="I164" s="6"/>
    </row>
    <row r="165" spans="2:9">
      <c r="B165" s="4"/>
      <c r="C165" s="6"/>
      <c r="E165" s="4"/>
      <c r="F165" s="6"/>
      <c r="H165" s="4"/>
      <c r="I165" s="6"/>
    </row>
    <row r="166" spans="2:9">
      <c r="B166" s="4"/>
      <c r="C166" s="6"/>
      <c r="E166" s="4"/>
      <c r="F166" s="6"/>
      <c r="H166" s="4"/>
      <c r="I166" s="6"/>
    </row>
    <row r="167" spans="2:9">
      <c r="B167" s="4"/>
      <c r="C167" s="6"/>
      <c r="E167" s="4"/>
      <c r="F167" s="6"/>
      <c r="H167" s="4"/>
      <c r="I167" s="6"/>
    </row>
    <row r="168" spans="2:9">
      <c r="B168" s="4"/>
      <c r="C168" s="6"/>
      <c r="E168" s="4"/>
      <c r="F168" s="6"/>
      <c r="H168" s="4"/>
      <c r="I168" s="6"/>
    </row>
    <row r="169" spans="2:9">
      <c r="B169" s="4"/>
      <c r="C169" s="6"/>
      <c r="E169" s="4"/>
      <c r="F169" s="6"/>
      <c r="H169" s="4"/>
      <c r="I169" s="6"/>
    </row>
    <row r="170" spans="2:9">
      <c r="B170" s="4"/>
      <c r="C170" s="6"/>
      <c r="E170" s="4"/>
      <c r="F170" s="6"/>
      <c r="H170" s="4"/>
      <c r="I170" s="6"/>
    </row>
    <row r="171" spans="2:9">
      <c r="B171" s="4"/>
      <c r="C171" s="6"/>
      <c r="E171" s="4"/>
      <c r="F171" s="6"/>
      <c r="H171" s="4"/>
      <c r="I171" s="6"/>
    </row>
    <row r="172" spans="2:9">
      <c r="B172" s="4"/>
      <c r="C172" s="6"/>
      <c r="E172" s="4"/>
      <c r="F172" s="6"/>
      <c r="H172" s="4"/>
      <c r="I172" s="6"/>
    </row>
    <row r="173" spans="2:9">
      <c r="B173" s="4"/>
      <c r="C173" s="6"/>
      <c r="E173" s="4"/>
      <c r="F173" s="6"/>
      <c r="H173" s="4"/>
      <c r="I173" s="6"/>
    </row>
    <row r="174" spans="2:9">
      <c r="B174" s="4"/>
      <c r="C174" s="6"/>
      <c r="E174" s="4"/>
      <c r="F174" s="6"/>
      <c r="H174" s="4"/>
      <c r="I174" s="6"/>
    </row>
    <row r="175" spans="2:9">
      <c r="B175" s="4"/>
      <c r="C175" s="6"/>
      <c r="E175" s="4"/>
      <c r="F175" s="6"/>
      <c r="H175" s="4"/>
      <c r="I175" s="6"/>
    </row>
    <row r="176" spans="2:9">
      <c r="B176" s="4"/>
      <c r="C176" s="6"/>
      <c r="E176" s="4"/>
      <c r="F176" s="6"/>
      <c r="H176" s="4"/>
      <c r="I176" s="6"/>
    </row>
    <row r="177" spans="2:9">
      <c r="B177" s="4"/>
      <c r="C177" s="6"/>
      <c r="E177" s="4"/>
      <c r="F177" s="6"/>
      <c r="H177" s="4"/>
      <c r="I177" s="6"/>
    </row>
    <row r="178" spans="2:9">
      <c r="B178" s="4"/>
      <c r="C178" s="6"/>
      <c r="E178" s="4"/>
      <c r="F178" s="6"/>
      <c r="H178" s="4"/>
      <c r="I178" s="6"/>
    </row>
    <row r="179" spans="2:9">
      <c r="B179" s="4"/>
      <c r="C179" s="6"/>
      <c r="E179" s="4"/>
      <c r="F179" s="6"/>
      <c r="H179" s="4"/>
      <c r="I179" s="6"/>
    </row>
    <row r="180" spans="2:9">
      <c r="B180" s="4"/>
      <c r="C180" s="6"/>
      <c r="E180" s="4"/>
      <c r="F180" s="6"/>
      <c r="H180" s="4"/>
      <c r="I180" s="6"/>
    </row>
    <row r="181" spans="2:9">
      <c r="B181" s="4"/>
      <c r="C181" s="6"/>
      <c r="E181" s="4"/>
      <c r="F181" s="6"/>
    </row>
    <row r="182" spans="2:9">
      <c r="B182" s="4"/>
      <c r="C182" s="6"/>
      <c r="E182" s="4"/>
      <c r="F182" s="6"/>
    </row>
    <row r="183" spans="2:9">
      <c r="B183" s="4"/>
      <c r="C183" s="6"/>
      <c r="E183" s="4"/>
      <c r="F183" s="6"/>
    </row>
    <row r="184" spans="2:9">
      <c r="B184" s="4"/>
      <c r="C184" s="6"/>
      <c r="E184" s="4"/>
      <c r="F184" s="6"/>
    </row>
    <row r="185" spans="2:9">
      <c r="B185" s="4"/>
      <c r="C185" s="6"/>
      <c r="E185" s="4"/>
      <c r="F185" s="6"/>
    </row>
    <row r="186" spans="2:9">
      <c r="B186" s="4"/>
      <c r="C186" s="6"/>
      <c r="E186" s="4"/>
      <c r="F186" s="6"/>
    </row>
    <row r="187" spans="2:9">
      <c r="B187" s="4"/>
      <c r="C187" s="6"/>
      <c r="E187" s="4"/>
      <c r="F187" s="6"/>
    </row>
    <row r="188" spans="2:9">
      <c r="B188" s="4"/>
      <c r="C188" s="6"/>
      <c r="E188" s="4"/>
      <c r="F188" s="6"/>
    </row>
    <row r="189" spans="2:9">
      <c r="B189" s="4"/>
      <c r="C189" s="6"/>
      <c r="E189" s="4"/>
      <c r="F189" s="6"/>
    </row>
    <row r="190" spans="2:9">
      <c r="B190" s="4"/>
      <c r="C190" s="6"/>
      <c r="E190" s="4"/>
      <c r="F190" s="6"/>
    </row>
    <row r="191" spans="2:9">
      <c r="B191" s="4"/>
      <c r="C191" s="6"/>
      <c r="E191" s="4"/>
      <c r="F191" s="6"/>
    </row>
    <row r="192" spans="2:9">
      <c r="B192" s="4"/>
      <c r="C192" s="6"/>
      <c r="E192" s="4"/>
      <c r="F192" s="6"/>
    </row>
    <row r="193" spans="2:6">
      <c r="B193" s="4"/>
      <c r="C193" s="6"/>
      <c r="E193" s="4"/>
      <c r="F193" s="6"/>
    </row>
    <row r="194" spans="2:6">
      <c r="B194" s="4"/>
      <c r="C194" s="6"/>
      <c r="E194" s="4"/>
      <c r="F194" s="6"/>
    </row>
    <row r="195" spans="2:6">
      <c r="B195" s="4"/>
      <c r="C195" s="6"/>
      <c r="E195" s="4"/>
      <c r="F195" s="6"/>
    </row>
    <row r="196" spans="2:6">
      <c r="B196" s="4"/>
      <c r="C196" s="6"/>
      <c r="E196" s="4"/>
      <c r="F196" s="6"/>
    </row>
    <row r="197" spans="2:6">
      <c r="B197" s="4"/>
      <c r="C197" s="6"/>
      <c r="E197" s="4"/>
      <c r="F197" s="6"/>
    </row>
    <row r="198" spans="2:6">
      <c r="B198" s="4"/>
      <c r="C198" s="6"/>
      <c r="E198" s="4"/>
      <c r="F198" s="6"/>
    </row>
    <row r="199" spans="2:6">
      <c r="B199" s="4"/>
      <c r="C199" s="6"/>
      <c r="E199" s="4"/>
      <c r="F199" s="6"/>
    </row>
    <row r="200" spans="2:6">
      <c r="B200" s="4"/>
      <c r="C200" s="6"/>
      <c r="E200" s="4"/>
      <c r="F200" s="6"/>
    </row>
    <row r="201" spans="2:6">
      <c r="B201" s="4"/>
      <c r="C201" s="6"/>
      <c r="E201" s="4"/>
      <c r="F201" s="6"/>
    </row>
    <row r="202" spans="2:6">
      <c r="B202" s="4"/>
      <c r="C202" s="6"/>
      <c r="E202" s="4"/>
      <c r="F202" s="6"/>
    </row>
    <row r="203" spans="2:6">
      <c r="B203" s="4"/>
      <c r="C203" s="6"/>
      <c r="E203" s="4"/>
      <c r="F203" s="6"/>
    </row>
    <row r="204" spans="2:6">
      <c r="B204" s="4"/>
      <c r="C204" s="6"/>
      <c r="E204" s="4"/>
      <c r="F204" s="6"/>
    </row>
    <row r="205" spans="2:6">
      <c r="B205" s="4"/>
      <c r="C205" s="6"/>
      <c r="E205" s="4"/>
      <c r="F205" s="6"/>
    </row>
    <row r="206" spans="2:6">
      <c r="B206" s="4"/>
      <c r="C206" s="6"/>
      <c r="E206" s="4"/>
      <c r="F206" s="6"/>
    </row>
    <row r="207" spans="2:6">
      <c r="B207" s="4"/>
      <c r="C207" s="6"/>
      <c r="E207" s="4"/>
      <c r="F207" s="6"/>
    </row>
    <row r="208" spans="2:6">
      <c r="B208" s="4"/>
      <c r="C208" s="6"/>
      <c r="E208" s="4"/>
      <c r="F208" s="6"/>
    </row>
    <row r="209" spans="2:6">
      <c r="B209" s="4"/>
      <c r="C209" s="6"/>
      <c r="E209" s="4"/>
      <c r="F209" s="6"/>
    </row>
    <row r="210" spans="2:6">
      <c r="B210" s="4"/>
      <c r="C210" s="6"/>
      <c r="F210" s="6"/>
    </row>
    <row r="211" spans="2:6">
      <c r="B211" s="4"/>
      <c r="C211" s="6"/>
    </row>
    <row r="212" spans="2:6">
      <c r="B212" s="4"/>
      <c r="C212" s="6"/>
    </row>
    <row r="213" spans="2:6">
      <c r="B213" s="4"/>
      <c r="C213" s="6"/>
    </row>
    <row r="214" spans="2:6">
      <c r="B214" s="4"/>
      <c r="C214" s="6"/>
    </row>
    <row r="215" spans="2:6">
      <c r="B215" s="4"/>
      <c r="C215" s="6"/>
    </row>
    <row r="216" spans="2:6">
      <c r="B216" s="4"/>
      <c r="C216" s="6"/>
    </row>
    <row r="217" spans="2:6">
      <c r="B217" s="4"/>
      <c r="C217" s="6"/>
    </row>
    <row r="218" spans="2:6">
      <c r="B218" s="4"/>
      <c r="C218" s="6"/>
    </row>
    <row r="219" spans="2:6">
      <c r="B219" s="4"/>
      <c r="C219" s="6"/>
    </row>
    <row r="220" spans="2:6">
      <c r="B220" s="4"/>
      <c r="C220" s="6"/>
    </row>
    <row r="221" spans="2:6">
      <c r="B221" s="4"/>
      <c r="C221" s="6"/>
    </row>
    <row r="222" spans="2:6">
      <c r="B222" s="4"/>
      <c r="C222" s="6"/>
    </row>
    <row r="223" spans="2:6">
      <c r="B223" s="4"/>
      <c r="C223" s="6"/>
    </row>
    <row r="224" spans="2:6">
      <c r="B224" s="4"/>
      <c r="C224" s="6"/>
    </row>
    <row r="225" spans="2:3">
      <c r="B225" s="4"/>
      <c r="C225" s="6"/>
    </row>
    <row r="226" spans="2:3">
      <c r="B226" s="4"/>
      <c r="C226" s="6"/>
    </row>
    <row r="227" spans="2:3">
      <c r="B227" s="4"/>
      <c r="C227" s="6"/>
    </row>
    <row r="228" spans="2:3">
      <c r="B228" s="4"/>
      <c r="C228" s="6"/>
    </row>
    <row r="229" spans="2:3">
      <c r="B229" s="4"/>
      <c r="C229" s="6"/>
    </row>
    <row r="230" spans="2:3">
      <c r="B230" s="4"/>
      <c r="C230" s="6"/>
    </row>
    <row r="231" spans="2:3">
      <c r="B231" s="4"/>
      <c r="C231" s="6"/>
    </row>
    <row r="232" spans="2:3">
      <c r="B232" s="4"/>
      <c r="C232" s="6"/>
    </row>
    <row r="233" spans="2:3">
      <c r="B233" s="4"/>
      <c r="C233" s="6"/>
    </row>
    <row r="234" spans="2:3">
      <c r="B234" s="4"/>
      <c r="C234" s="6"/>
    </row>
    <row r="235" spans="2:3">
      <c r="B235" s="4"/>
      <c r="C235" s="6"/>
    </row>
    <row r="236" spans="2:3">
      <c r="B236" s="4"/>
      <c r="C236" s="6"/>
    </row>
    <row r="237" spans="2:3">
      <c r="B237" s="4"/>
      <c r="C237" s="6"/>
    </row>
    <row r="238" spans="2:3">
      <c r="B238" s="4"/>
      <c r="C238" s="6"/>
    </row>
    <row r="239" spans="2:3">
      <c r="B239" s="4"/>
      <c r="C239" s="6"/>
    </row>
    <row r="240" spans="2:3">
      <c r="B240" s="4"/>
      <c r="C240" s="6"/>
    </row>
    <row r="241" spans="2:3">
      <c r="B241" s="4"/>
      <c r="C241" s="6"/>
    </row>
    <row r="242" spans="2:3">
      <c r="B242" s="4"/>
      <c r="C242" s="6"/>
    </row>
    <row r="243" spans="2:3">
      <c r="B243" s="4"/>
      <c r="C243" s="6"/>
    </row>
    <row r="244" spans="2:3">
      <c r="B244" s="4"/>
      <c r="C244" s="6"/>
    </row>
    <row r="245" spans="2:3">
      <c r="B245" s="4"/>
      <c r="C245" s="6"/>
    </row>
    <row r="246" spans="2:3">
      <c r="B246" s="4"/>
      <c r="C246" s="6"/>
    </row>
    <row r="247" spans="2:3">
      <c r="B247" s="4"/>
      <c r="C247" s="6"/>
    </row>
    <row r="248" spans="2:3">
      <c r="B248" s="4"/>
      <c r="C248" s="6"/>
    </row>
    <row r="249" spans="2:3">
      <c r="B249" s="4"/>
      <c r="C249" s="6"/>
    </row>
    <row r="250" spans="2:3">
      <c r="B250" s="4"/>
      <c r="C250" s="6"/>
    </row>
    <row r="251" spans="2:3">
      <c r="B251" s="4"/>
      <c r="C251" s="6"/>
    </row>
    <row r="252" spans="2:3">
      <c r="B252" s="4"/>
      <c r="C252" s="6"/>
    </row>
    <row r="253" spans="2:3">
      <c r="B253" s="4"/>
      <c r="C253" s="6"/>
    </row>
    <row r="254" spans="2:3">
      <c r="B254" s="4"/>
      <c r="C254" s="6"/>
    </row>
    <row r="255" spans="2:3">
      <c r="B255" s="4"/>
      <c r="C255" s="6"/>
    </row>
    <row r="256" spans="2:3">
      <c r="B256" s="4"/>
      <c r="C256" s="6"/>
    </row>
    <row r="257" spans="2:3">
      <c r="B257" s="4"/>
      <c r="C257" s="6"/>
    </row>
    <row r="258" spans="2:3">
      <c r="B258" s="4"/>
      <c r="C258" s="6"/>
    </row>
    <row r="259" spans="2:3">
      <c r="B259" s="4"/>
      <c r="C259" s="6"/>
    </row>
    <row r="260" spans="2:3">
      <c r="B260" s="4"/>
      <c r="C260" s="6"/>
    </row>
    <row r="261" spans="2:3">
      <c r="B261" s="4"/>
      <c r="C261" s="6"/>
    </row>
    <row r="262" spans="2:3">
      <c r="B262" s="4"/>
      <c r="C262" s="6"/>
    </row>
    <row r="263" spans="2:3">
      <c r="B263" s="4"/>
      <c r="C263" s="6"/>
    </row>
    <row r="264" spans="2:3">
      <c r="B264" s="4"/>
      <c r="C264" s="6"/>
    </row>
    <row r="265" spans="2:3">
      <c r="B265" s="4"/>
      <c r="C265" s="6"/>
    </row>
    <row r="266" spans="2:3">
      <c r="B266" s="4"/>
      <c r="C266" s="6"/>
    </row>
    <row r="267" spans="2:3">
      <c r="B267" s="4"/>
      <c r="C267" s="6"/>
    </row>
    <row r="268" spans="2:3">
      <c r="B268" s="4"/>
      <c r="C268" s="6"/>
    </row>
    <row r="269" spans="2:3">
      <c r="B269" s="4"/>
      <c r="C269" s="6"/>
    </row>
    <row r="270" spans="2:3">
      <c r="B270" s="4"/>
      <c r="C270" s="6"/>
    </row>
    <row r="271" spans="2:3">
      <c r="B271" s="4"/>
      <c r="C271" s="6"/>
    </row>
    <row r="272" spans="2:3">
      <c r="B272" s="4"/>
      <c r="C272" s="6"/>
    </row>
    <row r="273" spans="2:3">
      <c r="B273" s="4"/>
      <c r="C273" s="6"/>
    </row>
    <row r="274" spans="2:3">
      <c r="B274" s="4"/>
      <c r="C274" s="6"/>
    </row>
    <row r="275" spans="2:3">
      <c r="B275" s="4"/>
      <c r="C275" s="6"/>
    </row>
    <row r="276" spans="2:3">
      <c r="B276" s="4"/>
      <c r="C276" s="6"/>
    </row>
    <row r="277" spans="2:3">
      <c r="B277" s="4"/>
      <c r="C277" s="6"/>
    </row>
    <row r="278" spans="2:3">
      <c r="B278" s="4"/>
      <c r="C278" s="6"/>
    </row>
    <row r="279" spans="2:3">
      <c r="B279" s="4"/>
      <c r="C279" s="6"/>
    </row>
    <row r="280" spans="2:3">
      <c r="B280" s="4"/>
      <c r="C280" s="6"/>
    </row>
    <row r="281" spans="2:3">
      <c r="B281" s="4"/>
      <c r="C281" s="6"/>
    </row>
    <row r="282" spans="2:3">
      <c r="B282" s="4"/>
      <c r="C282" s="6"/>
    </row>
    <row r="283" spans="2:3">
      <c r="B283" s="4"/>
      <c r="C283" s="6"/>
    </row>
    <row r="284" spans="2:3">
      <c r="B284" s="4"/>
      <c r="C284" s="6"/>
    </row>
    <row r="285" spans="2:3">
      <c r="B285" s="4"/>
      <c r="C285" s="6"/>
    </row>
    <row r="286" spans="2:3">
      <c r="B286" s="4"/>
      <c r="C286" s="6"/>
    </row>
    <row r="287" spans="2:3">
      <c r="B287" s="4"/>
      <c r="C287" s="6"/>
    </row>
    <row r="288" spans="2:3">
      <c r="B288" s="4"/>
      <c r="C288" s="6"/>
    </row>
    <row r="289" spans="2:3">
      <c r="B289" s="4"/>
      <c r="C289" s="6"/>
    </row>
    <row r="290" spans="2:3">
      <c r="B290" s="4"/>
      <c r="C290" s="6"/>
    </row>
    <row r="291" spans="2:3">
      <c r="B291" s="4"/>
      <c r="C291" s="6"/>
    </row>
    <row r="292" spans="2:3">
      <c r="B292" s="4"/>
      <c r="C292" s="6"/>
    </row>
    <row r="293" spans="2:3">
      <c r="B293" s="4"/>
      <c r="C293" s="6"/>
    </row>
    <row r="294" spans="2:3">
      <c r="B294" s="4"/>
      <c r="C294" s="6"/>
    </row>
    <row r="295" spans="2:3">
      <c r="B295" s="4"/>
      <c r="C295" s="6"/>
    </row>
    <row r="296" spans="2:3">
      <c r="B296" s="4"/>
      <c r="C296" s="6"/>
    </row>
    <row r="297" spans="2:3">
      <c r="B297" s="4"/>
      <c r="C297" s="6"/>
    </row>
    <row r="298" spans="2:3">
      <c r="B298" s="4"/>
      <c r="C298" s="6"/>
    </row>
    <row r="299" spans="2:3">
      <c r="B299" s="4"/>
      <c r="C299" s="6"/>
    </row>
    <row r="300" spans="2:3">
      <c r="B300" s="4"/>
      <c r="C300" s="6"/>
    </row>
    <row r="301" spans="2:3">
      <c r="B301" s="4"/>
      <c r="C301" s="6"/>
    </row>
    <row r="302" spans="2:3">
      <c r="B302" s="4"/>
      <c r="C302" s="6"/>
    </row>
    <row r="303" spans="2:3">
      <c r="B303" s="4"/>
      <c r="C303" s="6"/>
    </row>
    <row r="304" spans="2:3">
      <c r="B304" s="4"/>
      <c r="C304" s="6"/>
    </row>
    <row r="305" spans="2:3">
      <c r="B305" s="4"/>
      <c r="C305" s="6"/>
    </row>
    <row r="306" spans="2:3">
      <c r="B306" s="4"/>
      <c r="C306" s="6"/>
    </row>
    <row r="307" spans="2:3">
      <c r="B307" s="4"/>
      <c r="C307" s="6"/>
    </row>
    <row r="308" spans="2:3">
      <c r="B308" s="4"/>
      <c r="C308" s="6"/>
    </row>
    <row r="309" spans="2:3">
      <c r="B309" s="4"/>
      <c r="C309" s="6"/>
    </row>
    <row r="310" spans="2:3">
      <c r="B310" s="4"/>
      <c r="C310" s="6"/>
    </row>
    <row r="311" spans="2:3">
      <c r="B311" s="4"/>
      <c r="C311" s="6"/>
    </row>
    <row r="312" spans="2:3">
      <c r="B312" s="4"/>
      <c r="C312" s="6"/>
    </row>
    <row r="313" spans="2:3">
      <c r="B313" s="4"/>
      <c r="C313" s="6"/>
    </row>
    <row r="314" spans="2:3">
      <c r="B314" s="4"/>
      <c r="C314" s="6"/>
    </row>
    <row r="315" spans="2:3">
      <c r="B315" s="4"/>
      <c r="C315" s="6"/>
    </row>
    <row r="316" spans="2:3">
      <c r="B316" s="4"/>
      <c r="C316" s="6"/>
    </row>
    <row r="317" spans="2:3">
      <c r="B317" s="4"/>
      <c r="C317" s="6"/>
    </row>
    <row r="318" spans="2:3">
      <c r="B318" s="4"/>
      <c r="C318" s="6"/>
    </row>
    <row r="319" spans="2:3">
      <c r="B319" s="4"/>
      <c r="C319" s="6"/>
    </row>
    <row r="320" spans="2:3">
      <c r="B320" s="4"/>
      <c r="C320" s="6"/>
    </row>
    <row r="321" spans="2:3">
      <c r="B321" s="4"/>
      <c r="C321" s="6"/>
    </row>
    <row r="322" spans="2:3">
      <c r="B322" s="4"/>
      <c r="C322" s="6"/>
    </row>
    <row r="323" spans="2:3">
      <c r="B323" s="4"/>
      <c r="C323" s="6"/>
    </row>
    <row r="324" spans="2:3">
      <c r="B324" s="4"/>
      <c r="C324" s="6"/>
    </row>
    <row r="325" spans="2:3">
      <c r="B325" s="4"/>
      <c r="C325" s="6"/>
    </row>
    <row r="326" spans="2:3">
      <c r="B326" s="4"/>
      <c r="C326" s="6"/>
    </row>
    <row r="327" spans="2:3">
      <c r="B327" s="4"/>
      <c r="C327" s="6"/>
    </row>
    <row r="328" spans="2:3">
      <c r="B328" s="4"/>
      <c r="C328" s="6"/>
    </row>
    <row r="329" spans="2:3">
      <c r="B329" s="4"/>
      <c r="C329" s="6"/>
    </row>
    <row r="330" spans="2:3">
      <c r="B330" s="4"/>
      <c r="C330" s="6"/>
    </row>
    <row r="331" spans="2:3">
      <c r="B331" s="4"/>
      <c r="C331" s="6"/>
    </row>
    <row r="332" spans="2:3">
      <c r="B332" s="4"/>
      <c r="C332" s="6"/>
    </row>
    <row r="333" spans="2:3">
      <c r="B333" s="4"/>
      <c r="C333" s="6"/>
    </row>
    <row r="334" spans="2:3">
      <c r="B334" s="4"/>
      <c r="C334" s="6"/>
    </row>
    <row r="335" spans="2:3">
      <c r="B335" s="4"/>
      <c r="C335" s="6"/>
    </row>
    <row r="336" spans="2:3">
      <c r="B336" s="4"/>
      <c r="C336" s="6"/>
    </row>
    <row r="337" spans="2:3">
      <c r="B337" s="4"/>
      <c r="C337" s="6"/>
    </row>
    <row r="338" spans="2:3">
      <c r="B338" s="4"/>
      <c r="C338" s="6"/>
    </row>
    <row r="339" spans="2:3">
      <c r="B339" s="4"/>
      <c r="C339" s="6"/>
    </row>
    <row r="340" spans="2:3">
      <c r="B340" s="4"/>
      <c r="C340" s="6"/>
    </row>
    <row r="341" spans="2:3">
      <c r="B341" s="4"/>
      <c r="C341" s="6"/>
    </row>
    <row r="342" spans="2:3">
      <c r="B342" s="4"/>
      <c r="C342" s="6"/>
    </row>
    <row r="343" spans="2:3">
      <c r="B343" s="4"/>
      <c r="C343" s="6"/>
    </row>
    <row r="344" spans="2:3">
      <c r="B344" s="4"/>
      <c r="C344" s="6"/>
    </row>
    <row r="345" spans="2:3">
      <c r="B345" s="4"/>
      <c r="C345" s="6"/>
    </row>
    <row r="346" spans="2:3">
      <c r="B346" s="4"/>
      <c r="C346" s="6"/>
    </row>
    <row r="347" spans="2:3">
      <c r="B347" s="4"/>
      <c r="C347" s="6"/>
    </row>
    <row r="348" spans="2:3">
      <c r="B348" s="4"/>
      <c r="C348" s="6"/>
    </row>
    <row r="349" spans="2:3">
      <c r="B349" s="4"/>
      <c r="C349" s="6"/>
    </row>
    <row r="350" spans="2:3">
      <c r="B350" s="4"/>
      <c r="C350" s="6"/>
    </row>
    <row r="351" spans="2:3">
      <c r="B351" s="4"/>
      <c r="C351" s="6"/>
    </row>
    <row r="352" spans="2:3">
      <c r="B352" s="4"/>
      <c r="C352" s="6"/>
    </row>
    <row r="353" spans="2:3">
      <c r="B353" s="4"/>
      <c r="C353" s="6"/>
    </row>
    <row r="354" spans="2:3">
      <c r="B354" s="4"/>
      <c r="C354" s="6"/>
    </row>
    <row r="355" spans="2:3">
      <c r="B355" s="4"/>
      <c r="C355" s="6"/>
    </row>
    <row r="356" spans="2:3">
      <c r="B356" s="4"/>
      <c r="C356" s="6"/>
    </row>
    <row r="357" spans="2:3">
      <c r="B357" s="4"/>
      <c r="C357" s="6"/>
    </row>
    <row r="358" spans="2:3">
      <c r="B358" s="4"/>
      <c r="C358" s="6"/>
    </row>
    <row r="359" spans="2:3">
      <c r="B359" s="4"/>
      <c r="C359" s="6"/>
    </row>
    <row r="360" spans="2:3">
      <c r="B360" s="4"/>
      <c r="C360" s="6"/>
    </row>
    <row r="361" spans="2:3">
      <c r="B361" s="4"/>
      <c r="C361" s="6"/>
    </row>
    <row r="362" spans="2:3">
      <c r="B362" s="4"/>
      <c r="C362" s="6"/>
    </row>
    <row r="363" spans="2:3">
      <c r="B363" s="4"/>
      <c r="C363" s="6"/>
    </row>
    <row r="364" spans="2:3">
      <c r="B364" s="4"/>
      <c r="C364" s="6"/>
    </row>
    <row r="365" spans="2:3">
      <c r="B365" s="4"/>
      <c r="C365" s="6"/>
    </row>
    <row r="366" spans="2:3">
      <c r="B366" s="4"/>
      <c r="C366" s="6"/>
    </row>
    <row r="367" spans="2:3">
      <c r="B367" s="4"/>
      <c r="C367" s="6"/>
    </row>
    <row r="368" spans="2:3">
      <c r="B368" s="4"/>
      <c r="C368" s="6"/>
    </row>
    <row r="369" spans="2:3">
      <c r="B369" s="4"/>
      <c r="C369" s="6"/>
    </row>
    <row r="370" spans="2:3">
      <c r="B370" s="4"/>
      <c r="C370" s="6"/>
    </row>
    <row r="371" spans="2:3">
      <c r="B371" s="4"/>
      <c r="C371" s="6"/>
    </row>
    <row r="372" spans="2:3">
      <c r="B372" s="4"/>
      <c r="C372" s="6"/>
    </row>
    <row r="373" spans="2:3">
      <c r="B373" s="4"/>
      <c r="C373" s="6"/>
    </row>
    <row r="374" spans="2:3">
      <c r="B374" s="4"/>
      <c r="C374" s="6"/>
    </row>
    <row r="375" spans="2:3">
      <c r="B375" s="4"/>
      <c r="C375" s="6"/>
    </row>
    <row r="376" spans="2:3">
      <c r="B376" s="4"/>
      <c r="C376" s="6"/>
    </row>
    <row r="377" spans="2:3">
      <c r="B377" s="4"/>
      <c r="C377" s="6"/>
    </row>
    <row r="378" spans="2:3">
      <c r="B378" s="4"/>
      <c r="C378" s="6"/>
    </row>
    <row r="379" spans="2:3">
      <c r="B379" s="4"/>
      <c r="C379" s="6"/>
    </row>
    <row r="380" spans="2:3">
      <c r="B380" s="4"/>
      <c r="C38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Patterson</dc:creator>
  <cp:keywords/>
  <dc:description/>
  <cp:lastModifiedBy/>
  <cp:revision/>
  <dcterms:created xsi:type="dcterms:W3CDTF">2022-10-06T16:58:33Z</dcterms:created>
  <dcterms:modified xsi:type="dcterms:W3CDTF">2024-02-15T19:32:36Z</dcterms:modified>
  <cp:category/>
  <cp:contentStatus/>
</cp:coreProperties>
</file>