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00c8dcf7ab2e39/Ben Desktop/"/>
    </mc:Choice>
  </mc:AlternateContent>
  <xr:revisionPtr revIDLastSave="0" documentId="8_{D7601A32-2C99-44D5-8595-4460BCB54D6B}" xr6:coauthVersionLast="47" xr6:coauthVersionMax="47" xr10:uidLastSave="{00000000-0000-0000-0000-000000000000}"/>
  <bookViews>
    <workbookView xWindow="-120" yWindow="-120" windowWidth="30960" windowHeight="16800" xr2:uid="{A99928AD-09B7-4995-8053-3A03303664B9}"/>
  </bookViews>
  <sheets>
    <sheet name="Financial analysis" sheetId="2" r:id="rId1"/>
    <sheet name="Cash flow model" sheetId="3" r:id="rId2"/>
    <sheet name="OLD - Draft Redemption Policy" sheetId="4" state="hidden" r:id="rId3"/>
  </sheets>
  <definedNames>
    <definedName name="CAPRate_YR1">'Cash flow model'!$D$55</definedName>
    <definedName name="Fund_Name">#REF!</definedName>
    <definedName name="GP_ProfitParticipation">'Financial analysis'!$J$45</definedName>
    <definedName name="PrefRate">'Financial analysis'!$D$37</definedName>
    <definedName name="Property_Name">'Financial analysis'!$B$2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3" l="1"/>
  <c r="D22" i="2"/>
  <c r="D36" i="2" s="1"/>
  <c r="D42" i="2" s="1"/>
  <c r="E18" i="3"/>
  <c r="F18" i="3" s="1"/>
  <c r="G18" i="3" s="1"/>
  <c r="H18" i="3" s="1"/>
  <c r="I18" i="3" s="1"/>
  <c r="J18" i="3" s="1"/>
  <c r="K18" i="3" s="1"/>
  <c r="L18" i="3" s="1"/>
  <c r="M18" i="3" s="1"/>
  <c r="B2" i="3"/>
  <c r="C103" i="3"/>
  <c r="C104" i="3" s="1"/>
  <c r="C58" i="3"/>
  <c r="F29" i="2" a="1"/>
  <c r="F29" i="2" s="1"/>
  <c r="D8" i="3"/>
  <c r="D7" i="3"/>
  <c r="M17" i="3"/>
  <c r="M22" i="3" s="1"/>
  <c r="L17" i="3"/>
  <c r="L22" i="3" s="1"/>
  <c r="K17" i="3"/>
  <c r="K22" i="3" s="1"/>
  <c r="J17" i="3"/>
  <c r="J22" i="3" s="1"/>
  <c r="I17" i="3"/>
  <c r="I22" i="3" s="1"/>
  <c r="H17" i="3"/>
  <c r="H22" i="3" s="1"/>
  <c r="G17" i="3"/>
  <c r="G22" i="3" s="1"/>
  <c r="F17" i="3"/>
  <c r="F22" i="3" s="1"/>
  <c r="E17" i="3"/>
  <c r="E22" i="3" s="1"/>
  <c r="D17" i="3"/>
  <c r="D19" i="3" s="1"/>
  <c r="D10" i="3"/>
  <c r="D42" i="3" s="1"/>
  <c r="D23" i="3"/>
  <c r="E23" i="3" s="1"/>
  <c r="F23" i="3" s="1"/>
  <c r="G23" i="3" s="1"/>
  <c r="H23" i="3" s="1"/>
  <c r="I23" i="3" s="1"/>
  <c r="J23" i="3" s="1"/>
  <c r="K23" i="3" s="1"/>
  <c r="L23" i="3" s="1"/>
  <c r="M23" i="3" s="1"/>
  <c r="L16" i="4"/>
  <c r="D28" i="4"/>
  <c r="B19" i="4" a="1"/>
  <c r="B19" i="4" s="1"/>
  <c r="H24" i="4"/>
  <c r="H25" i="4" s="1"/>
  <c r="H26" i="4" s="1"/>
  <c r="H27" i="4" s="1"/>
  <c r="H28" i="4" s="1"/>
  <c r="D27" i="3" a="1"/>
  <c r="D27" i="3" s="1"/>
  <c r="D40" i="3" a="1"/>
  <c r="D40" i="3" s="1"/>
  <c r="D29" i="3" s="1"/>
  <c r="D14" i="3" a="1"/>
  <c r="D14" i="3" s="1"/>
  <c r="D114" i="3" a="1"/>
  <c r="D114" i="3" s="1"/>
  <c r="D66" i="3" a="1"/>
  <c r="D66" i="3" s="1"/>
  <c r="D22" i="3" l="1"/>
  <c r="J27" i="2"/>
  <c r="E19" i="3"/>
  <c r="G30" i="2"/>
  <c r="G31" i="2"/>
  <c r="G32" i="2"/>
  <c r="G33" i="2"/>
  <c r="G34" i="2"/>
  <c r="G35" i="2"/>
  <c r="G36" i="2"/>
  <c r="G37" i="2"/>
  <c r="G38" i="2"/>
  <c r="E42" i="3"/>
  <c r="J19" i="3"/>
  <c r="D9" i="3"/>
  <c r="D59" i="3" s="1"/>
  <c r="M19" i="3"/>
  <c r="K19" i="3"/>
  <c r="F19" i="3"/>
  <c r="G19" i="3"/>
  <c r="H19" i="3"/>
  <c r="I19" i="3"/>
  <c r="L19" i="3"/>
  <c r="E24" i="4"/>
  <c r="F24" i="4" s="1"/>
  <c r="E25" i="4" s="1"/>
  <c r="H29" i="3"/>
  <c r="I29" i="3"/>
  <c r="E29" i="3"/>
  <c r="G29" i="3"/>
  <c r="K29" i="3"/>
  <c r="F29" i="3"/>
  <c r="J29" i="3"/>
  <c r="L29" i="3"/>
  <c r="M29" i="3"/>
  <c r="D34" i="3"/>
  <c r="D30" i="3"/>
  <c r="L30" i="3"/>
  <c r="K30" i="3"/>
  <c r="J30" i="3"/>
  <c r="G30" i="3"/>
  <c r="F30" i="3"/>
  <c r="E30" i="3"/>
  <c r="M30" i="3"/>
  <c r="I30" i="3"/>
  <c r="H30" i="3"/>
  <c r="D111" i="3" l="1"/>
  <c r="D47" i="3"/>
  <c r="J58" i="3"/>
  <c r="F58" i="3"/>
  <c r="E58" i="3"/>
  <c r="D58" i="3"/>
  <c r="H58" i="3"/>
  <c r="M58" i="3"/>
  <c r="I58" i="3"/>
  <c r="L58" i="3"/>
  <c r="K58" i="3"/>
  <c r="G58" i="3"/>
  <c r="F42" i="3"/>
  <c r="G42" i="3" s="1"/>
  <c r="H42" i="3" s="1"/>
  <c r="I42" i="3" s="1"/>
  <c r="J42" i="3" s="1"/>
  <c r="K42" i="3" s="1"/>
  <c r="L42" i="3" s="1"/>
  <c r="M42" i="3" s="1"/>
  <c r="F25" i="4"/>
  <c r="E26" i="4" s="1"/>
  <c r="D31" i="3"/>
  <c r="D57" i="3"/>
  <c r="D84" i="3"/>
  <c r="E31" i="3" l="1"/>
  <c r="D77" i="3"/>
  <c r="D78" i="3" s="1"/>
  <c r="D79" i="3" s="1"/>
  <c r="F26" i="4"/>
  <c r="E27" i="4" s="1"/>
  <c r="F31" i="3" l="1"/>
  <c r="F27" i="4"/>
  <c r="E28" i="4" s="1"/>
  <c r="F28" i="4" s="1"/>
  <c r="G31" i="3" l="1"/>
  <c r="H31" i="3" l="1"/>
  <c r="I31" i="3" l="1"/>
  <c r="J31" i="3" l="1"/>
  <c r="K31" i="3" l="1"/>
  <c r="L31" i="3" l="1"/>
  <c r="M31" i="3" l="1"/>
  <c r="D69" i="3"/>
  <c r="D115" i="3" l="1"/>
  <c r="D90" i="3"/>
  <c r="E59" i="3"/>
  <c r="F59" i="3" s="1"/>
  <c r="G59" i="3" s="1"/>
  <c r="H59" i="3" s="1"/>
  <c r="I59" i="3" s="1"/>
  <c r="J59" i="3" s="1"/>
  <c r="K59" i="3" s="1"/>
  <c r="L59" i="3" s="1"/>
  <c r="M59" i="3" s="1"/>
  <c r="D33" i="3"/>
  <c r="D48" i="3" l="1"/>
  <c r="E48" i="3" s="1"/>
  <c r="F48" i="3" s="1"/>
  <c r="G48" i="3" s="1"/>
  <c r="H48" i="3" s="1"/>
  <c r="I48" i="3" s="1"/>
  <c r="J48" i="3" s="1"/>
  <c r="K48" i="3" s="1"/>
  <c r="L48" i="3" s="1"/>
  <c r="M48" i="3" s="1"/>
  <c r="E33" i="3"/>
  <c r="E34" i="3" s="1"/>
  <c r="E57" i="3" s="1"/>
  <c r="D82" i="3"/>
  <c r="D35" i="3"/>
  <c r="E47" i="3"/>
  <c r="E84" i="3" l="1"/>
  <c r="E77" i="3"/>
  <c r="E78" i="3" s="1"/>
  <c r="E79" i="3" s="1"/>
  <c r="F47" i="3"/>
  <c r="E82" i="3"/>
  <c r="E35" i="3"/>
  <c r="F33" i="3"/>
  <c r="F34" i="3" s="1"/>
  <c r="F57" i="3" s="1"/>
  <c r="D83" i="3"/>
  <c r="D85" i="3" s="1"/>
  <c r="F84" i="3" l="1"/>
  <c r="F77" i="3"/>
  <c r="F78" i="3" s="1"/>
  <c r="F79" i="3" s="1"/>
  <c r="D70" i="3"/>
  <c r="F82" i="3"/>
  <c r="F35" i="3"/>
  <c r="G33" i="3"/>
  <c r="E83" i="3"/>
  <c r="E85" i="3" s="1"/>
  <c r="G47" i="3"/>
  <c r="G34" i="3" l="1"/>
  <c r="G35" i="3" s="1"/>
  <c r="H47" i="3"/>
  <c r="G82" i="3"/>
  <c r="H33" i="3"/>
  <c r="F83" i="3"/>
  <c r="F85" i="3" s="1"/>
  <c r="D117" i="3"/>
  <c r="D71" i="3"/>
  <c r="H57" i="3" l="1"/>
  <c r="G57" i="3"/>
  <c r="G84" i="3"/>
  <c r="G77" i="3"/>
  <c r="G78" i="3" s="1"/>
  <c r="G79" i="3" s="1"/>
  <c r="E69" i="3"/>
  <c r="H82" i="3"/>
  <c r="H34" i="3"/>
  <c r="I33" i="3"/>
  <c r="G83" i="3"/>
  <c r="I47" i="3"/>
  <c r="G85" i="3" l="1"/>
  <c r="J47" i="3"/>
  <c r="I82" i="3"/>
  <c r="J33" i="3"/>
  <c r="H84" i="3"/>
  <c r="I57" i="3"/>
  <c r="H77" i="3"/>
  <c r="I34" i="3"/>
  <c r="H35" i="3"/>
  <c r="H83" i="3"/>
  <c r="E70" i="3"/>
  <c r="E71" i="3" s="1"/>
  <c r="E115" i="3"/>
  <c r="H85" i="3" l="1"/>
  <c r="F69" i="3"/>
  <c r="E117" i="3"/>
  <c r="I77" i="3"/>
  <c r="I84" i="3"/>
  <c r="J57" i="3"/>
  <c r="J34" i="3"/>
  <c r="J35" i="3" s="1"/>
  <c r="I35" i="3"/>
  <c r="H78" i="3"/>
  <c r="H79" i="3" s="1"/>
  <c r="J82" i="3"/>
  <c r="K33" i="3"/>
  <c r="I83" i="3"/>
  <c r="K47" i="3"/>
  <c r="I85" i="3" l="1"/>
  <c r="L47" i="3"/>
  <c r="K82" i="3"/>
  <c r="L33" i="3"/>
  <c r="J83" i="3"/>
  <c r="J77" i="3"/>
  <c r="K57" i="3"/>
  <c r="J84" i="3"/>
  <c r="K34" i="3"/>
  <c r="I78" i="3"/>
  <c r="I79" i="3" s="1"/>
  <c r="F70" i="3"/>
  <c r="F71" i="3" s="1"/>
  <c r="F115" i="3"/>
  <c r="J85" i="3" l="1"/>
  <c r="G69" i="3"/>
  <c r="F117" i="3"/>
  <c r="K77" i="3"/>
  <c r="K84" i="3"/>
  <c r="L57" i="3"/>
  <c r="L34" i="3"/>
  <c r="L35" i="3" s="1"/>
  <c r="K35" i="3"/>
  <c r="J78" i="3"/>
  <c r="J79" i="3" s="1"/>
  <c r="L82" i="3"/>
  <c r="M33" i="3"/>
  <c r="K83" i="3"/>
  <c r="M47" i="3"/>
  <c r="K85" i="3" l="1"/>
  <c r="M82" i="3"/>
  <c r="M83" i="3" s="1"/>
  <c r="L83" i="3"/>
  <c r="M34" i="3"/>
  <c r="M84" i="3" s="1"/>
  <c r="M57" i="3"/>
  <c r="L84" i="3"/>
  <c r="L77" i="3"/>
  <c r="K78" i="3"/>
  <c r="K79" i="3" s="1"/>
  <c r="G70" i="3"/>
  <c r="G71" i="3" s="1"/>
  <c r="G115" i="3"/>
  <c r="M85" i="3" l="1"/>
  <c r="L85" i="3"/>
  <c r="H69" i="3"/>
  <c r="G117" i="3"/>
  <c r="L78" i="3"/>
  <c r="L79" i="3" s="1"/>
  <c r="M77" i="3"/>
  <c r="M35" i="3"/>
  <c r="M78" i="3" l="1"/>
  <c r="M79" i="3" s="1"/>
  <c r="H70" i="3"/>
  <c r="H115" i="3"/>
  <c r="H117" i="3" l="1"/>
  <c r="H71" i="3"/>
  <c r="I69" i="3" l="1"/>
  <c r="I70" i="3" l="1"/>
  <c r="I115" i="3"/>
  <c r="I117" i="3" l="1"/>
  <c r="I71" i="3"/>
  <c r="J69" i="3" l="1"/>
  <c r="J70" i="3" l="1"/>
  <c r="J115" i="3"/>
  <c r="J117" i="3" l="1"/>
  <c r="J71" i="3"/>
  <c r="K69" i="3" l="1"/>
  <c r="K70" i="3" l="1"/>
  <c r="K115" i="3"/>
  <c r="K117" i="3" l="1"/>
  <c r="K71" i="3"/>
  <c r="L69" i="3" l="1"/>
  <c r="L70" i="3" l="1"/>
  <c r="L115" i="3"/>
  <c r="L117" i="3" l="1"/>
  <c r="L71" i="3"/>
  <c r="M69" i="3" l="1"/>
  <c r="M115" i="3" s="1"/>
  <c r="M70" i="3" l="1"/>
  <c r="M117" i="3" l="1"/>
  <c r="M71" i="3"/>
  <c r="D28" i="2"/>
  <c r="D43" i="3" l="1"/>
  <c r="D44" i="3" s="1"/>
  <c r="E43" i="3"/>
  <c r="E44" i="3" s="1"/>
  <c r="D51" i="3"/>
  <c r="E51" i="3" s="1"/>
  <c r="F51" i="3" s="1"/>
  <c r="G51" i="3" s="1"/>
  <c r="H51" i="3" s="1"/>
  <c r="I51" i="3" s="1"/>
  <c r="J51" i="3" s="1"/>
  <c r="K51" i="3" s="1"/>
  <c r="L51" i="3" s="1"/>
  <c r="M51" i="3" s="1"/>
  <c r="D50" i="3"/>
  <c r="E50" i="3" s="1"/>
  <c r="F50" i="3" s="1"/>
  <c r="G50" i="3" s="1"/>
  <c r="H50" i="3" s="1"/>
  <c r="I50" i="3" s="1"/>
  <c r="J50" i="3" s="1"/>
  <c r="K50" i="3" s="1"/>
  <c r="L50" i="3" s="1"/>
  <c r="M50" i="3" s="1"/>
  <c r="D49" i="3" l="1"/>
  <c r="E49" i="3"/>
  <c r="E52" i="3" s="1"/>
  <c r="E54" i="3" s="1"/>
  <c r="F43" i="3"/>
  <c r="F44" i="3" s="1"/>
  <c r="D52" i="3"/>
  <c r="C52" i="3" s="1"/>
  <c r="D54" i="3" l="1"/>
  <c r="C54" i="3" s="1"/>
  <c r="F49" i="3"/>
  <c r="F52" i="3" s="1"/>
  <c r="F54" i="3" s="1"/>
  <c r="D30" i="2"/>
  <c r="G43" i="3"/>
  <c r="G44" i="3" s="1"/>
  <c r="E55" i="3"/>
  <c r="E61" i="3"/>
  <c r="E74" i="3" s="1"/>
  <c r="E87" i="3" s="1"/>
  <c r="G49" i="3" l="1"/>
  <c r="G52" i="3" s="1"/>
  <c r="G54" i="3" s="1"/>
  <c r="F55" i="3"/>
  <c r="F61" i="3"/>
  <c r="F74" i="3" s="1"/>
  <c r="F87" i="3" s="1"/>
  <c r="H43" i="3"/>
  <c r="H44" i="3" s="1"/>
  <c r="D55" i="3"/>
  <c r="D61" i="3"/>
  <c r="D74" i="3" s="1"/>
  <c r="D87" i="3" s="1"/>
  <c r="D91" i="3" s="1"/>
  <c r="D89" i="3" l="1"/>
  <c r="D92" i="3"/>
  <c r="D31" i="2"/>
  <c r="G61" i="3"/>
  <c r="G74" i="3" s="1"/>
  <c r="G87" i="3" s="1"/>
  <c r="G55" i="3"/>
  <c r="H49" i="3"/>
  <c r="H52" i="3" s="1"/>
  <c r="H54" i="3" s="1"/>
  <c r="I43" i="3"/>
  <c r="I44" i="3" s="1"/>
  <c r="D95" i="3" l="1"/>
  <c r="I49" i="3"/>
  <c r="I52" i="3" s="1"/>
  <c r="I54" i="3" s="1"/>
  <c r="H61" i="3"/>
  <c r="H74" i="3" s="1"/>
  <c r="H87" i="3" s="1"/>
  <c r="H55" i="3"/>
  <c r="J43" i="3"/>
  <c r="J44" i="3" s="1"/>
  <c r="E90" i="3"/>
  <c r="E91" i="3" s="1"/>
  <c r="I61" i="3" l="1"/>
  <c r="I74" i="3" s="1"/>
  <c r="I87" i="3" s="1"/>
  <c r="I55" i="3"/>
  <c r="J49" i="3"/>
  <c r="J52" i="3" s="1"/>
  <c r="J54" i="3" s="1"/>
  <c r="K43" i="3"/>
  <c r="K44" i="3" s="1"/>
  <c r="J61" i="3" l="1"/>
  <c r="J74" i="3" s="1"/>
  <c r="J87" i="3" s="1"/>
  <c r="J55" i="3"/>
  <c r="K49" i="3"/>
  <c r="K52" i="3" s="1"/>
  <c r="K54" i="3" s="1"/>
  <c r="E89" i="3"/>
  <c r="E95" i="3"/>
  <c r="E92" i="3"/>
  <c r="F90" i="3" s="1"/>
  <c r="L43" i="3"/>
  <c r="L44" i="3" s="1"/>
  <c r="L49" i="3" l="1"/>
  <c r="L52" i="3" s="1"/>
  <c r="L54" i="3" s="1"/>
  <c r="K55" i="3"/>
  <c r="K61" i="3"/>
  <c r="K74" i="3" s="1"/>
  <c r="K87" i="3" s="1"/>
  <c r="F91" i="3"/>
  <c r="F89" i="3" s="1"/>
  <c r="M43" i="3"/>
  <c r="M44" i="3" s="1"/>
  <c r="L61" i="3" l="1"/>
  <c r="L74" i="3" s="1"/>
  <c r="L87" i="3" s="1"/>
  <c r="L55" i="3"/>
  <c r="M49" i="3"/>
  <c r="M52" i="3" s="1"/>
  <c r="M54" i="3" s="1"/>
  <c r="F95" i="3"/>
  <c r="F92" i="3"/>
  <c r="G90" i="3" s="1"/>
  <c r="G91" i="3" l="1"/>
  <c r="G92" i="3" s="1"/>
  <c r="H90" i="3" s="1"/>
  <c r="M61" i="3"/>
  <c r="M74" i="3" s="1"/>
  <c r="M87" i="3" s="1"/>
  <c r="M55" i="3"/>
  <c r="H91" i="3" l="1"/>
  <c r="H92" i="3" s="1"/>
  <c r="I90" i="3" s="1"/>
  <c r="G89" i="3"/>
  <c r="G95" i="3"/>
  <c r="I91" i="3" l="1"/>
  <c r="H89" i="3"/>
  <c r="H95" i="3"/>
  <c r="I92" i="3" l="1"/>
  <c r="J90" i="3" s="1"/>
  <c r="J91" i="3" s="1"/>
  <c r="J95" i="3" s="1"/>
  <c r="I89" i="3"/>
  <c r="I95" i="3"/>
  <c r="J89" i="3" l="1"/>
  <c r="J92" i="3"/>
  <c r="K90" i="3" s="1"/>
  <c r="K91" i="3" l="1"/>
  <c r="K92" i="3" s="1"/>
  <c r="L90" i="3" s="1"/>
  <c r="K89" i="3" l="1"/>
  <c r="K95" i="3"/>
  <c r="L91" i="3"/>
  <c r="L92" i="3" s="1"/>
  <c r="M90" i="3" s="1"/>
  <c r="M91" i="3" l="1"/>
  <c r="L89" i="3"/>
  <c r="L95" i="3"/>
  <c r="M89" i="3" l="1"/>
  <c r="M95" i="3"/>
  <c r="M92" i="3"/>
  <c r="D97" i="3" l="1"/>
  <c r="D98" i="3" s="1"/>
  <c r="D96" i="3" s="1"/>
  <c r="D101" i="3" l="1"/>
  <c r="D99" i="3" l="1"/>
  <c r="E97" i="3" s="1"/>
  <c r="D102" i="3"/>
  <c r="D103" i="3" s="1"/>
  <c r="D116" i="3" s="1"/>
  <c r="D118" i="3" l="1"/>
  <c r="D119" i="3"/>
  <c r="D104" i="3"/>
  <c r="E98" i="3"/>
  <c r="E96" i="3" s="1"/>
  <c r="E101" i="3" s="1"/>
  <c r="E99" i="3" l="1"/>
  <c r="F97" i="3" s="1"/>
  <c r="F98" i="3" s="1"/>
  <c r="F96" i="3" s="1"/>
  <c r="F101" i="3" s="1"/>
  <c r="E102" i="3"/>
  <c r="E103" i="3" s="1"/>
  <c r="E116" i="3" s="1"/>
  <c r="E119" i="3" l="1"/>
  <c r="E104" i="3"/>
  <c r="F99" i="3"/>
  <c r="G97" i="3" s="1"/>
  <c r="G98" i="3" s="1"/>
  <c r="G96" i="3" s="1"/>
  <c r="G101" i="3" s="1"/>
  <c r="E118" i="3"/>
  <c r="F102" i="3"/>
  <c r="F103" i="3" s="1"/>
  <c r="F116" i="3" s="1"/>
  <c r="F119" i="3" s="1"/>
  <c r="F104" i="3" l="1"/>
  <c r="G99" i="3"/>
  <c r="H97" i="3" s="1"/>
  <c r="H98" i="3" s="1"/>
  <c r="H96" i="3" s="1"/>
  <c r="H101" i="3" s="1"/>
  <c r="F118" i="3"/>
  <c r="G102" i="3"/>
  <c r="G103" i="3" s="1"/>
  <c r="G116" i="3" s="1"/>
  <c r="G119" i="3" s="1"/>
  <c r="G104" i="3" l="1"/>
  <c r="G118" i="3"/>
  <c r="H102" i="3"/>
  <c r="H103" i="3" s="1"/>
  <c r="H116" i="3" s="1"/>
  <c r="H119" i="3" s="1"/>
  <c r="H99" i="3"/>
  <c r="I97" i="3" s="1"/>
  <c r="H104" i="3" l="1"/>
  <c r="I98" i="3"/>
  <c r="I96" i="3" s="1"/>
  <c r="I101" i="3" s="1"/>
  <c r="H118" i="3"/>
  <c r="I102" i="3" l="1"/>
  <c r="I103" i="3" s="1"/>
  <c r="I116" i="3" s="1"/>
  <c r="I99" i="3"/>
  <c r="J97" i="3" s="1"/>
  <c r="I119" i="3" l="1"/>
  <c r="I104" i="3"/>
  <c r="J98" i="3"/>
  <c r="J96" i="3" s="1"/>
  <c r="J101" i="3" s="1"/>
  <c r="I118" i="3"/>
  <c r="J99" i="3" l="1"/>
  <c r="K97" i="3" s="1"/>
  <c r="K98" i="3" s="1"/>
  <c r="J102" i="3"/>
  <c r="J103" i="3" s="1"/>
  <c r="J116" i="3" s="1"/>
  <c r="K96" i="3" l="1"/>
  <c r="K101" i="3" s="1"/>
  <c r="K102" i="3" s="1"/>
  <c r="K103" i="3" s="1"/>
  <c r="K116" i="3" s="1"/>
  <c r="K99" i="3"/>
  <c r="L97" i="3" s="1"/>
  <c r="L98" i="3" s="1"/>
  <c r="L96" i="3" s="1"/>
  <c r="L101" i="3" s="1"/>
  <c r="J104" i="3"/>
  <c r="J119" i="3"/>
  <c r="J118" i="3"/>
  <c r="K104" i="3" l="1"/>
  <c r="K119" i="3"/>
  <c r="K118" i="3"/>
  <c r="L99" i="3"/>
  <c r="M97" i="3" s="1"/>
  <c r="L102" i="3"/>
  <c r="L103" i="3" s="1"/>
  <c r="L116" i="3" s="1"/>
  <c r="L104" i="3" l="1"/>
  <c r="M98" i="3"/>
  <c r="M96" i="3" s="1"/>
  <c r="M101" i="3" s="1"/>
  <c r="L118" i="3"/>
  <c r="L119" i="3"/>
  <c r="M99" i="3" l="1"/>
  <c r="M102" i="3"/>
  <c r="M103" i="3" s="1"/>
  <c r="M116" i="3" s="1"/>
  <c r="C125" i="3" s="1"/>
  <c r="M104" i="3" l="1"/>
  <c r="M119" i="3"/>
  <c r="M118" i="3"/>
  <c r="C124" i="3" s="1"/>
  <c r="J21" i="2"/>
  <c r="J29" i="2" l="1" a="1"/>
  <c r="J29" i="2" s="1"/>
  <c r="J39" i="2" s="1"/>
  <c r="J2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<sst xmlns="http://schemas.openxmlformats.org/spreadsheetml/2006/main" count="175" uniqueCount="156">
  <si>
    <t>FFCM</t>
  </si>
  <si>
    <t>SFR Underwriting Template</t>
  </si>
  <si>
    <t>Property Details</t>
  </si>
  <si>
    <t>Address</t>
  </si>
  <si>
    <t>123 S Main St, Phoenix, AZ 85753</t>
  </si>
  <si>
    <t>Zillow Link</t>
  </si>
  <si>
    <t>Link</t>
  </si>
  <si>
    <t>Beds / Baths</t>
  </si>
  <si>
    <t>3 bd / 2 ba</t>
  </si>
  <si>
    <t>Year Built</t>
  </si>
  <si>
    <t>Square Feet</t>
  </si>
  <si>
    <t>Financial analysis</t>
  </si>
  <si>
    <t>Acquisition assumptions</t>
  </si>
  <si>
    <t>Pro forma returns</t>
  </si>
  <si>
    <t>Average home market value</t>
  </si>
  <si>
    <t>LP IRR</t>
  </si>
  <si>
    <t>Estimated discount to market</t>
  </si>
  <si>
    <t>LP equity multiple</t>
  </si>
  <si>
    <t>Average cost per home (all in)</t>
  </si>
  <si>
    <t>Operating assumptions</t>
  </si>
  <si>
    <t>Investor Cash Flow</t>
  </si>
  <si>
    <t>Monthly rental rate</t>
  </si>
  <si>
    <t>Investment Size</t>
  </si>
  <si>
    <t>per year</t>
  </si>
  <si>
    <t>Year</t>
  </si>
  <si>
    <t>Vacancy</t>
  </si>
  <si>
    <t>(Investment)</t>
  </si>
  <si>
    <t>Expenses as pct of rent</t>
  </si>
  <si>
    <t>CAP Rate (Acquisition)</t>
  </si>
  <si>
    <t>Capital assumptions</t>
  </si>
  <si>
    <t>Preferred equity</t>
  </si>
  <si>
    <t>Rate</t>
  </si>
  <si>
    <r>
      <t xml:space="preserve">Debt </t>
    </r>
    <r>
      <rPr>
        <sz val="12"/>
        <color theme="1"/>
        <rFont val="Calibri"/>
        <family val="2"/>
        <scheme val="minor"/>
      </rPr>
      <t>(assumes I/O)</t>
    </r>
  </si>
  <si>
    <t>Term leverage (target LTV)</t>
  </si>
  <si>
    <t>Profit</t>
  </si>
  <si>
    <t>Refinance year</t>
  </si>
  <si>
    <t>Refinance rate</t>
  </si>
  <si>
    <t>Fees</t>
  </si>
  <si>
    <t>Total capital</t>
  </si>
  <si>
    <t>Acquisition/Disposition</t>
  </si>
  <si>
    <t>Exit assumptions</t>
  </si>
  <si>
    <t>Asset Management</t>
  </si>
  <si>
    <t>Performance Participation</t>
  </si>
  <si>
    <t>Exit year</t>
  </si>
  <si>
    <t>Model Inputs</t>
  </si>
  <si>
    <t>General</t>
  </si>
  <si>
    <t>Estimated discount to market value</t>
  </si>
  <si>
    <t xml:space="preserve">Per home total investment </t>
  </si>
  <si>
    <t>Monthly rent</t>
  </si>
  <si>
    <t>Growth inputs</t>
  </si>
  <si>
    <t>End of year</t>
  </si>
  <si>
    <t>Asset &amp; revenue growth drivers</t>
  </si>
  <si>
    <t>Terminal</t>
  </si>
  <si>
    <t>Inflation</t>
  </si>
  <si>
    <t>Supply/demand imbalance</t>
  </si>
  <si>
    <t>Total combined</t>
  </si>
  <si>
    <t>Expense growth drivers</t>
  </si>
  <si>
    <t>Property tax</t>
  </si>
  <si>
    <t>Model triggers and other</t>
  </si>
  <si>
    <t>Events</t>
  </si>
  <si>
    <t>Has exited</t>
  </si>
  <si>
    <t xml:space="preserve">Balance sheet </t>
  </si>
  <si>
    <t>Market value of property</t>
  </si>
  <si>
    <t>Book value of debt</t>
  </si>
  <si>
    <t>Equity (NAV)</t>
  </si>
  <si>
    <t>Income statement (pro forma)</t>
  </si>
  <si>
    <t>Gross potential rent</t>
  </si>
  <si>
    <t>Effective rent</t>
  </si>
  <si>
    <t>Operating expenses</t>
  </si>
  <si>
    <t>Property taxes  (% of Purchase)</t>
  </si>
  <si>
    <t>Property insurance (% of Asset Value)</t>
  </si>
  <si>
    <t>Property management (% of Rent)</t>
  </si>
  <si>
    <t>Repairs and maintenance (% of Rent)</t>
  </si>
  <si>
    <t>Utilities (% of Rent)</t>
  </si>
  <si>
    <t>Total operating expenses</t>
  </si>
  <si>
    <t>Net operating income (NOI)</t>
  </si>
  <si>
    <t>NOI / Initial Investment (CAP Rate)</t>
  </si>
  <si>
    <t>Interest expense</t>
  </si>
  <si>
    <t>Asset management expenses</t>
  </si>
  <si>
    <t>Other fund expenses</t>
  </si>
  <si>
    <t>Net income</t>
  </si>
  <si>
    <t>Distributions (pro forma)</t>
  </si>
  <si>
    <t>Capital account</t>
  </si>
  <si>
    <t>Balance (BOP)</t>
  </si>
  <si>
    <t>Less Return of Capital</t>
  </si>
  <si>
    <t>Balance (EOP)</t>
  </si>
  <si>
    <t>Cash from operations</t>
  </si>
  <si>
    <t>Cash from refinancing</t>
  </si>
  <si>
    <t>Debt issuance</t>
  </si>
  <si>
    <t>Less loan costs and fees</t>
  </si>
  <si>
    <t>Net refinancing proceeds</t>
  </si>
  <si>
    <t>Cash from sale</t>
  </si>
  <si>
    <t>Gross sales price</t>
  </si>
  <si>
    <t>Less transaction costs</t>
  </si>
  <si>
    <t>Less debt</t>
  </si>
  <si>
    <t>Net sales proceeds</t>
  </si>
  <si>
    <t>Total distributable cash</t>
  </si>
  <si>
    <t>Preferred return</t>
  </si>
  <si>
    <t>Owed</t>
  </si>
  <si>
    <t>Paid</t>
  </si>
  <si>
    <t>Accrued</t>
  </si>
  <si>
    <t>Cash distributable after preferred return</t>
  </si>
  <si>
    <t>GP Participation (Catch-up)</t>
  </si>
  <si>
    <t>Cash distributable after GP participation</t>
  </si>
  <si>
    <t>Return of capital</t>
  </si>
  <si>
    <t>Limited Partners</t>
  </si>
  <si>
    <t>GP Participation</t>
  </si>
  <si>
    <t>LP cash flows (pro forma)</t>
  </si>
  <si>
    <t>To investment</t>
  </si>
  <si>
    <t>Distributions from profit</t>
  </si>
  <si>
    <t>Distributions from return of capital</t>
  </si>
  <si>
    <t>Total cash flow to (from) LP</t>
  </si>
  <si>
    <t>As percent of initial investment</t>
  </si>
  <si>
    <t>Metrics</t>
  </si>
  <si>
    <t>IRR</t>
  </si>
  <si>
    <t>Equity multiple</t>
  </si>
  <si>
    <t>Redemption Requests</t>
  </si>
  <si>
    <t>- No redemptions for first 5 years</t>
  </si>
  <si>
    <t>- Redemptions after 5 years limited to 20% initial capital / year</t>
  </si>
  <si>
    <t>-- E.g., If $100K invested, $20K redemption option year 6, 7, 8, 9, 10</t>
  </si>
  <si>
    <t>-- Manager may (but not required) to redeem over this amount</t>
  </si>
  <si>
    <t>- Intention to redeem/return 60%+ of initial capital via refinance in year 4-5</t>
  </si>
  <si>
    <t>Sales Proceeds</t>
  </si>
  <si>
    <t>--If refinance successful, no further (required) redemption requests until year 8</t>
  </si>
  <si>
    <t>Less TXN Fees</t>
  </si>
  <si>
    <t>Disposition Fee</t>
  </si>
  <si>
    <t>Buyer's Fee</t>
  </si>
  <si>
    <t>Title</t>
  </si>
  <si>
    <t>Renovations</t>
  </si>
  <si>
    <t>-- If year 6 - use appraisal at EOY 5 for redemptions</t>
  </si>
  <si>
    <t>Concessions</t>
  </si>
  <si>
    <t>Holding Costs</t>
  </si>
  <si>
    <t>NET NUMBER</t>
  </si>
  <si>
    <t>Contribution</t>
  </si>
  <si>
    <t>Redemption from Refinance</t>
  </si>
  <si>
    <t>Max Redemption from Request</t>
  </si>
  <si>
    <t>Total Cumulative Redemption</t>
  </si>
  <si>
    <t>Max Annual Redemption</t>
  </si>
  <si>
    <t>Max Cumulative Redemption</t>
  </si>
  <si>
    <t>Valuation</t>
  </si>
  <si>
    <t>Appraisal (Refi)</t>
  </si>
  <si>
    <t>BPO</t>
  </si>
  <si>
    <t>Appraisal</t>
  </si>
  <si>
    <t>Redemption Process</t>
  </si>
  <si>
    <t>Appraisals. Gross valuation = 20MM</t>
  </si>
  <si>
    <t>Net Valuation = 18MM</t>
  </si>
  <si>
    <t xml:space="preserve">Redemption Requests = $2MM </t>
  </si>
  <si>
    <t>Locked who you're taking out</t>
  </si>
  <si>
    <t>Solicit capital to purchase redemptions (LP, then GP, then Outside)</t>
  </si>
  <si>
    <t>New Capital = $1MM</t>
  </si>
  <si>
    <t xml:space="preserve">Split that up </t>
  </si>
  <si>
    <t>By EOY</t>
  </si>
  <si>
    <t>Sell $1MM</t>
  </si>
  <si>
    <t>Split it up again</t>
  </si>
  <si>
    <t>Assume profit on the $1MM of sales = $250,000</t>
  </si>
  <si>
    <t>How is thie $250K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</si>
</sst>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[$$-409]* #,##0_);_([$$-409]* \(#,##0\);_([$$-409]* &quot;-&quot;??_);_(@_)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7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7"/>
      <color theme="0"/>
      <name val="Calibri"/>
      <family val="2"/>
    </font>
    <font>
      <sz val="12"/>
      <color theme="9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Alignment="0" applyProtection="0"/>
    <xf numFmtId="0" fontId="4" fillId="2" borderId="0"/>
    <xf numFmtId="0" fontId="5" fillId="0" borderId="0">
      <alignment horizontal="left" indent="1"/>
    </xf>
    <xf numFmtId="0" fontId="7" fillId="0" borderId="0">
      <alignment vertical="top"/>
    </xf>
  </cellStyleXfs>
  <cellXfs count="119">
    <xf numFmtId="0" fontId="0" fillId="0" borderId="0" xfId="0"/>
    <xf numFmtId="9" fontId="0" fillId="0" borderId="0" xfId="0" applyNumberFormat="1"/>
    <xf numFmtId="0" fontId="0" fillId="0" borderId="0" xfId="0" applyAlignment="1">
      <alignment horizontal="left" indent="1"/>
    </xf>
    <xf numFmtId="0" fontId="6" fillId="0" borderId="0" xfId="3"/>
    <xf numFmtId="8" fontId="0" fillId="0" borderId="0" xfId="0" applyNumberFormat="1"/>
    <xf numFmtId="0" fontId="4" fillId="2" borderId="0" xfId="4"/>
    <xf numFmtId="164" fontId="0" fillId="0" borderId="0" xfId="1" applyNumberFormat="1" applyFont="1"/>
    <xf numFmtId="0" fontId="0" fillId="0" borderId="0" xfId="0" applyAlignment="1">
      <alignment horizontal="left"/>
    </xf>
    <xf numFmtId="10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0" fontId="8" fillId="0" borderId="0" xfId="0" applyFont="1" applyAlignment="1">
      <alignment horizontal="left"/>
    </xf>
    <xf numFmtId="10" fontId="8" fillId="0" borderId="0" xfId="0" applyNumberFormat="1" applyFont="1"/>
    <xf numFmtId="43" fontId="8" fillId="0" borderId="0" xfId="0" applyNumberFormat="1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164" fontId="0" fillId="0" borderId="1" xfId="1" applyNumberFormat="1" applyFont="1" applyBorder="1"/>
    <xf numFmtId="10" fontId="0" fillId="0" borderId="1" xfId="0" applyNumberFormat="1" applyBorder="1"/>
    <xf numFmtId="0" fontId="0" fillId="0" borderId="2" xfId="5" applyFont="1" applyBorder="1">
      <alignment horizontal="left" indent="1"/>
    </xf>
    <xf numFmtId="164" fontId="0" fillId="0" borderId="2" xfId="1" applyNumberFormat="1" applyFont="1" applyBorder="1"/>
    <xf numFmtId="0" fontId="0" fillId="0" borderId="0" xfId="5" quotePrefix="1" applyFont="1">
      <alignment horizontal="left" indent="1"/>
    </xf>
    <xf numFmtId="0" fontId="0" fillId="0" borderId="1" xfId="5" applyFont="1" applyBorder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8" fillId="0" borderId="1" xfId="5" applyFont="1" applyBorder="1">
      <alignment horizontal="left" indent="1"/>
    </xf>
    <xf numFmtId="0" fontId="5" fillId="0" borderId="2" xfId="5" applyBorder="1" applyAlignment="1">
      <alignment horizontal="left" indent="2"/>
    </xf>
    <xf numFmtId="0" fontId="5" fillId="0" borderId="1" xfId="5" applyBorder="1" applyAlignment="1">
      <alignment horizontal="left" indent="2"/>
    </xf>
    <xf numFmtId="9" fontId="0" fillId="0" borderId="1" xfId="2" applyFont="1" applyBorder="1"/>
    <xf numFmtId="0" fontId="8" fillId="0" borderId="1" xfId="0" applyFont="1" applyBorder="1"/>
    <xf numFmtId="10" fontId="8" fillId="0" borderId="1" xfId="0" applyNumberFormat="1" applyFont="1" applyBorder="1"/>
    <xf numFmtId="0" fontId="8" fillId="0" borderId="2" xfId="0" applyFont="1" applyBorder="1"/>
    <xf numFmtId="10" fontId="8" fillId="0" borderId="2" xfId="0" applyNumberFormat="1" applyFont="1" applyBorder="1"/>
    <xf numFmtId="43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 applyAlignment="1">
      <alignment horizontal="left"/>
    </xf>
    <xf numFmtId="165" fontId="0" fillId="0" borderId="2" xfId="0" applyNumberFormat="1" applyBorder="1"/>
    <xf numFmtId="9" fontId="0" fillId="0" borderId="2" xfId="0" applyNumberFormat="1" applyBorder="1"/>
    <xf numFmtId="10" fontId="0" fillId="0" borderId="2" xfId="0" applyNumberFormat="1" applyBorder="1" applyAlignment="1">
      <alignment horizontal="left" indent="1"/>
    </xf>
    <xf numFmtId="10" fontId="12" fillId="0" borderId="2" xfId="0" applyNumberFormat="1" applyFont="1" applyBorder="1"/>
    <xf numFmtId="10" fontId="12" fillId="0" borderId="2" xfId="0" applyNumberFormat="1" applyFont="1" applyBorder="1" applyAlignment="1">
      <alignment horizontal="right"/>
    </xf>
    <xf numFmtId="10" fontId="8" fillId="0" borderId="2" xfId="0" applyNumberFormat="1" applyFont="1" applyBorder="1" applyAlignment="1">
      <alignment horizontal="left" inden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0" fillId="0" borderId="3" xfId="0" applyBorder="1"/>
    <xf numFmtId="10" fontId="8" fillId="0" borderId="2" xfId="0" applyNumberFormat="1" applyFont="1" applyBorder="1" applyAlignment="1">
      <alignment horizontal="left"/>
    </xf>
    <xf numFmtId="0" fontId="13" fillId="0" borderId="1" xfId="0" applyFont="1" applyBorder="1"/>
    <xf numFmtId="165" fontId="13" fillId="0" borderId="1" xfId="2" applyNumberFormat="1" applyFont="1" applyBorder="1"/>
    <xf numFmtId="0" fontId="14" fillId="0" borderId="1" xfId="0" applyFont="1" applyBorder="1"/>
    <xf numFmtId="0" fontId="3" fillId="0" borderId="1" xfId="0" applyFont="1" applyBorder="1" applyAlignment="1">
      <alignment horizontal="left" indent="1"/>
    </xf>
    <xf numFmtId="0" fontId="15" fillId="0" borderId="1" xfId="0" applyFont="1" applyBorder="1"/>
    <xf numFmtId="0" fontId="11" fillId="0" borderId="1" xfId="0" applyFont="1" applyBorder="1"/>
    <xf numFmtId="43" fontId="8" fillId="0" borderId="2" xfId="0" applyNumberFormat="1" applyFont="1" applyBorder="1"/>
    <xf numFmtId="9" fontId="0" fillId="0" borderId="2" xfId="2" applyFont="1" applyBorder="1"/>
    <xf numFmtId="9" fontId="8" fillId="0" borderId="0" xfId="0" applyNumberFormat="1" applyFont="1"/>
    <xf numFmtId="164" fontId="8" fillId="0" borderId="0" xfId="1" applyNumberFormat="1" applyFont="1"/>
    <xf numFmtId="9" fontId="0" fillId="0" borderId="1" xfId="0" applyNumberFormat="1" applyBorder="1"/>
    <xf numFmtId="43" fontId="0" fillId="0" borderId="2" xfId="1" applyFont="1" applyBorder="1"/>
    <xf numFmtId="0" fontId="6" fillId="0" borderId="1" xfId="3" applyBorder="1" applyAlignment="1"/>
    <xf numFmtId="164" fontId="8" fillId="0" borderId="2" xfId="0" applyNumberFormat="1" applyFont="1" applyBorder="1"/>
    <xf numFmtId="0" fontId="11" fillId="0" borderId="1" xfId="0" applyFont="1" applyBorder="1" applyAlignment="1">
      <alignment horizontal="right"/>
    </xf>
    <xf numFmtId="0" fontId="0" fillId="0" borderId="1" xfId="5" applyFont="1" applyBorder="1" applyAlignment="1">
      <alignment horizontal="left" indent="2"/>
    </xf>
    <xf numFmtId="0" fontId="5" fillId="0" borderId="0" xfId="5" quotePrefix="1">
      <alignment horizontal="left" indent="1"/>
    </xf>
    <xf numFmtId="9" fontId="0" fillId="0" borderId="0" xfId="2" applyFont="1"/>
    <xf numFmtId="165" fontId="0" fillId="0" borderId="4" xfId="2" applyNumberFormat="1" applyFont="1" applyBorder="1"/>
    <xf numFmtId="16" fontId="0" fillId="0" borderId="0" xfId="0" applyNumberFormat="1"/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0" fillId="0" borderId="0" xfId="0" applyAlignment="1">
      <alignment horizontal="right"/>
    </xf>
    <xf numFmtId="0" fontId="19" fillId="0" borderId="2" xfId="5" applyFont="1" applyBorder="1" applyAlignment="1">
      <alignment horizontal="left" indent="2"/>
    </xf>
    <xf numFmtId="0" fontId="1" fillId="0" borderId="2" xfId="0" applyFont="1" applyBorder="1"/>
    <xf numFmtId="0" fontId="19" fillId="0" borderId="0" xfId="0" applyFont="1" applyAlignment="1">
      <alignment horizontal="left" indent="1"/>
    </xf>
    <xf numFmtId="9" fontId="20" fillId="0" borderId="0" xfId="0" applyNumberFormat="1" applyFont="1"/>
    <xf numFmtId="165" fontId="19" fillId="0" borderId="0" xfId="2" applyNumberFormat="1" applyFont="1"/>
    <xf numFmtId="10" fontId="19" fillId="0" borderId="2" xfId="2" applyNumberFormat="1" applyFont="1" applyBorder="1"/>
    <xf numFmtId="10" fontId="19" fillId="0" borderId="2" xfId="0" applyNumberFormat="1" applyFont="1" applyBorder="1"/>
    <xf numFmtId="0" fontId="18" fillId="0" borderId="2" xfId="5" applyFont="1" applyBorder="1">
      <alignment horizontal="left" indent="1"/>
    </xf>
    <xf numFmtId="10" fontId="21" fillId="0" borderId="1" xfId="0" applyNumberFormat="1" applyFont="1" applyBorder="1"/>
    <xf numFmtId="164" fontId="17" fillId="0" borderId="1" xfId="1" applyNumberFormat="1" applyFont="1" applyFill="1" applyBorder="1"/>
    <xf numFmtId="164" fontId="21" fillId="0" borderId="2" xfId="1" applyNumberFormat="1" applyFont="1" applyBorder="1"/>
    <xf numFmtId="10" fontId="23" fillId="0" borderId="2" xfId="0" applyNumberFormat="1" applyFont="1" applyBorder="1"/>
    <xf numFmtId="10" fontId="21" fillId="0" borderId="2" xfId="0" applyNumberFormat="1" applyFont="1" applyBorder="1"/>
    <xf numFmtId="165" fontId="8" fillId="0" borderId="1" xfId="0" applyNumberFormat="1" applyFont="1" applyBorder="1"/>
    <xf numFmtId="10" fontId="17" fillId="0" borderId="1" xfId="2" applyNumberFormat="1" applyFont="1" applyFill="1" applyBorder="1"/>
    <xf numFmtId="166" fontId="8" fillId="0" borderId="1" xfId="1" applyNumberFormat="1" applyFont="1" applyBorder="1"/>
    <xf numFmtId="0" fontId="8" fillId="0" borderId="1" xfId="5" applyFont="1" applyBorder="1" applyAlignment="1">
      <alignment horizontal="left" indent="2"/>
    </xf>
    <xf numFmtId="0" fontId="5" fillId="0" borderId="2" xfId="5" applyBorder="1">
      <alignment horizontal="left" indent="1"/>
    </xf>
    <xf numFmtId="10" fontId="22" fillId="0" borderId="2" xfId="2" applyNumberFormat="1" applyFont="1" applyBorder="1"/>
    <xf numFmtId="164" fontId="0" fillId="0" borderId="1" xfId="1" applyNumberFormat="1" applyFont="1" applyBorder="1" applyAlignment="1">
      <alignment horizontal="left"/>
    </xf>
    <xf numFmtId="43" fontId="0" fillId="0" borderId="0" xfId="1" applyFont="1"/>
    <xf numFmtId="0" fontId="0" fillId="0" borderId="1" xfId="5" applyFont="1" applyBorder="1" applyAlignment="1">
      <alignment horizontal="right" indent="1"/>
    </xf>
    <xf numFmtId="0" fontId="0" fillId="0" borderId="0" xfId="5" applyFont="1">
      <alignment horizontal="left" indent="1"/>
    </xf>
    <xf numFmtId="164" fontId="17" fillId="0" borderId="0" xfId="1" applyNumberFormat="1" applyFont="1" applyFill="1" applyBorder="1"/>
    <xf numFmtId="9" fontId="17" fillId="0" borderId="1" xfId="2" applyFont="1" applyFill="1" applyBorder="1"/>
    <xf numFmtId="10" fontId="17" fillId="0" borderId="1" xfId="2" applyNumberFormat="1" applyFont="1" applyBorder="1"/>
    <xf numFmtId="165" fontId="17" fillId="0" borderId="1" xfId="2" applyNumberFormat="1" applyFont="1" applyBorder="1"/>
    <xf numFmtId="166" fontId="24" fillId="0" borderId="1" xfId="1" applyNumberFormat="1" applyFont="1" applyFill="1" applyBorder="1"/>
    <xf numFmtId="0" fontId="17" fillId="0" borderId="1" xfId="0" applyFont="1" applyBorder="1"/>
    <xf numFmtId="164" fontId="21" fillId="0" borderId="1" xfId="1" applyNumberFormat="1" applyFont="1" applyFill="1" applyBorder="1"/>
    <xf numFmtId="10" fontId="17" fillId="0" borderId="2" xfId="0" applyNumberFormat="1" applyFont="1" applyBorder="1"/>
    <xf numFmtId="0" fontId="10" fillId="0" borderId="5" xfId="0" applyFont="1" applyBorder="1"/>
    <xf numFmtId="0" fontId="0" fillId="0" borderId="5" xfId="0" applyBorder="1"/>
    <xf numFmtId="164" fontId="19" fillId="0" borderId="2" xfId="1" applyNumberFormat="1" applyFont="1" applyBorder="1"/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10" fillId="0" borderId="0" xfId="0" applyFont="1"/>
    <xf numFmtId="0" fontId="6" fillId="0" borderId="3" xfId="3" applyBorder="1" applyAlignment="1"/>
    <xf numFmtId="0" fontId="6" fillId="0" borderId="1" xfId="3" applyBorder="1" applyAlignment="1"/>
    <xf numFmtId="0" fontId="6" fillId="0" borderId="0" xfId="3" applyAlignment="1"/>
    <xf numFmtId="0" fontId="9" fillId="0" borderId="0" xfId="0" applyFont="1" applyAlignment="1"/>
    <xf numFmtId="0" fontId="10" fillId="0" borderId="0" xfId="0" applyFont="1" applyAlignment="1"/>
    <xf numFmtId="0" fontId="16" fillId="2" borderId="0" xfId="4" applyFont="1" applyAlignment="1"/>
  </cellXfs>
  <cellStyles count="7">
    <cellStyle name="Comma" xfId="1" builtinId="3"/>
    <cellStyle name="FF Heading 1" xfId="4" xr:uid="{332FC57A-AD56-4B43-A3F7-AA9CA744065D}"/>
    <cellStyle name="Heading 2" xfId="3" builtinId="17" customBuiltin="1"/>
    <cellStyle name="Inline Note" xfId="6" xr:uid="{2CF97D0A-ACBB-4B92-BA89-55C8BFD93F89}"/>
    <cellStyle name="Normal" xfId="0" builtinId="0" customBuiltin="1"/>
    <cellStyle name="Normal - Indented" xfId="5" xr:uid="{712BA491-6D2F-4643-9DD7-BF89849ED68C}"/>
    <cellStyle name="Percent" xfId="2" builtinId="5"/>
  </cellStyles>
  <dxfs count="0"/>
  <tableStyles count="0" defaultTableStyle="TableStyleMedium2" defaultPivotStyle="PivotStyleLight16"/>
  <colors>
    <mruColors>
      <color rgb="FF22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A26C-10B7-4936-9C86-75AA3A2172EE}">
  <sheetPr>
    <pageSetUpPr fitToPage="1"/>
  </sheetPr>
  <dimension ref="A1:K46"/>
  <sheetViews>
    <sheetView showGridLines="0" tabSelected="1" topLeftCell="A16" workbookViewId="0">
      <selection activeCell="D28" sqref="D28"/>
    </sheetView>
  </sheetViews>
  <sheetFormatPr defaultColWidth="0" defaultRowHeight="15.75"/>
  <cols>
    <col min="1" max="1" width="3.625" customWidth="1"/>
    <col min="2" max="2" width="21.5" bestFit="1" customWidth="1"/>
    <col min="3" max="3" width="11.125" bestFit="1" customWidth="1"/>
    <col min="4" max="4" width="14.75" bestFit="1" customWidth="1"/>
    <col min="5" max="7" width="11.125" bestFit="1" customWidth="1"/>
    <col min="8" max="8" width="12.125" bestFit="1" customWidth="1"/>
    <col min="9" max="9" width="7" customWidth="1"/>
    <col min="10" max="10" width="12.125" bestFit="1" customWidth="1"/>
    <col min="11" max="11" width="4.25" customWidth="1"/>
    <col min="12" max="16384" width="9" hidden="1"/>
  </cols>
  <sheetData>
    <row r="1" spans="1:11" ht="23.25">
      <c r="B1" s="17" t="s">
        <v>0</v>
      </c>
    </row>
    <row r="2" spans="1:11" s="106" customFormat="1" ht="22.5">
      <c r="B2" s="105" t="s">
        <v>1</v>
      </c>
    </row>
    <row r="3" spans="1:11" ht="18" customHeight="1">
      <c r="B3" s="112"/>
    </row>
    <row r="5" spans="1:11" ht="22.5">
      <c r="A5" s="5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</row>
    <row r="8" spans="1:11" ht="48.75">
      <c r="B8" s="108" t="s">
        <v>3</v>
      </c>
      <c r="D8" s="109" t="s">
        <v>4</v>
      </c>
    </row>
    <row r="9" spans="1:11">
      <c r="B9" s="108" t="s">
        <v>5</v>
      </c>
      <c r="D9" s="110" t="s">
        <v>6</v>
      </c>
    </row>
    <row r="10" spans="1:11">
      <c r="B10" s="108" t="s">
        <v>7</v>
      </c>
      <c r="D10" s="110" t="s">
        <v>8</v>
      </c>
    </row>
    <row r="11" spans="1:11">
      <c r="B11" s="108" t="s">
        <v>9</v>
      </c>
      <c r="D11" s="110">
        <v>1992</v>
      </c>
    </row>
    <row r="12" spans="1:11">
      <c r="B12" s="108" t="s">
        <v>10</v>
      </c>
      <c r="D12" s="111">
        <v>1300</v>
      </c>
    </row>
    <row r="16" spans="1:11" ht="22.5">
      <c r="A16" s="5"/>
      <c r="B16" s="5" t="s">
        <v>11</v>
      </c>
      <c r="C16" s="5"/>
      <c r="D16" s="5"/>
      <c r="E16" s="5"/>
      <c r="F16" s="5"/>
      <c r="G16" s="5"/>
      <c r="H16" s="5"/>
      <c r="I16" s="5"/>
      <c r="J16" s="5"/>
      <c r="K16" s="5"/>
    </row>
    <row r="19" spans="2:10" ht="23.25">
      <c r="B19" s="114" t="s">
        <v>12</v>
      </c>
      <c r="C19" s="114"/>
      <c r="D19" s="18"/>
      <c r="F19" s="114" t="s">
        <v>13</v>
      </c>
      <c r="G19" s="114"/>
      <c r="H19" s="114"/>
      <c r="I19" s="63"/>
      <c r="J19" s="63"/>
    </row>
    <row r="20" spans="2:10">
      <c r="B20" s="26" t="s">
        <v>14</v>
      </c>
      <c r="C20" s="18"/>
      <c r="D20" s="83">
        <v>260000</v>
      </c>
      <c r="F20" s="33" t="s">
        <v>15</v>
      </c>
      <c r="G20" s="33"/>
      <c r="H20" s="34"/>
      <c r="I20" s="34"/>
      <c r="J20" s="87">
        <f>'Cash flow model'!C124</f>
        <v>0.16154375461434367</v>
      </c>
    </row>
    <row r="21" spans="2:10">
      <c r="B21" s="26" t="s">
        <v>16</v>
      </c>
      <c r="C21" s="18"/>
      <c r="D21" s="88">
        <v>0.08</v>
      </c>
      <c r="F21" s="35" t="s">
        <v>17</v>
      </c>
      <c r="G21" s="35"/>
      <c r="H21" s="57"/>
      <c r="I21" s="57"/>
      <c r="J21" s="57">
        <f>'Cash flow model'!C125</f>
        <v>1.8511549369262099</v>
      </c>
    </row>
    <row r="22" spans="2:10">
      <c r="B22" s="26" t="s">
        <v>18</v>
      </c>
      <c r="C22" s="18"/>
      <c r="D22" s="103">
        <f>D20*(1-D21)</f>
        <v>239200</v>
      </c>
    </row>
    <row r="23" spans="2:10">
      <c r="B23" s="96"/>
      <c r="D23" s="73"/>
    </row>
    <row r="24" spans="2:10">
      <c r="B24" s="96"/>
      <c r="D24" s="97"/>
    </row>
    <row r="25" spans="2:10" ht="15.75" customHeight="1">
      <c r="B25" s="115" t="s">
        <v>19</v>
      </c>
      <c r="C25" s="115"/>
      <c r="D25" s="8"/>
      <c r="F25" s="115" t="s">
        <v>20</v>
      </c>
      <c r="G25" s="115"/>
      <c r="H25" s="115"/>
      <c r="I25" s="115"/>
      <c r="J25" s="115"/>
    </row>
    <row r="26" spans="2:10">
      <c r="B26" s="114"/>
      <c r="C26" s="114"/>
      <c r="D26" s="18"/>
      <c r="F26" s="114"/>
      <c r="G26" s="114"/>
      <c r="H26" s="114"/>
      <c r="I26" s="114"/>
      <c r="J26" s="114"/>
    </row>
    <row r="27" spans="2:10" ht="15.75" customHeight="1">
      <c r="B27" s="23" t="s">
        <v>21</v>
      </c>
      <c r="C27" s="19"/>
      <c r="D27" s="83">
        <v>1900</v>
      </c>
      <c r="F27" s="29" t="s">
        <v>22</v>
      </c>
      <c r="G27" s="18"/>
      <c r="H27" s="18"/>
      <c r="I27" s="66"/>
      <c r="J27" s="101">
        <f>D36</f>
        <v>239200</v>
      </c>
    </row>
    <row r="28" spans="2:10">
      <c r="B28" s="74" t="s">
        <v>23</v>
      </c>
      <c r="C28" s="75"/>
      <c r="D28" s="107">
        <f>D27*12</f>
        <v>22800</v>
      </c>
      <c r="F28" s="95" t="s">
        <v>24</v>
      </c>
      <c r="G28" s="18"/>
      <c r="H28" s="18"/>
      <c r="I28" s="66"/>
      <c r="J28" s="32"/>
    </row>
    <row r="29" spans="2:10">
      <c r="B29" s="81" t="s">
        <v>25</v>
      </c>
      <c r="C29" s="75"/>
      <c r="D29" s="92">
        <v>0.05</v>
      </c>
      <c r="E29" s="11"/>
      <c r="F29" s="93" cm="1">
        <f t="array" ref="F29:F38">_xlfn.SEQUENCE(10,1,1,1)</f>
        <v>1</v>
      </c>
      <c r="G29" s="18" t="s">
        <v>26</v>
      </c>
      <c r="H29" s="18"/>
      <c r="I29" s="66"/>
      <c r="J29" s="21" cm="1">
        <f t="array" ref="J29:J38">$J$27/$D$22*TRANSPOSE('Cash flow model'!D118:M118)</f>
        <v>-227981.2</v>
      </c>
    </row>
    <row r="30" spans="2:10">
      <c r="B30" s="81" t="s">
        <v>27</v>
      </c>
      <c r="C30" s="19"/>
      <c r="D30" s="80">
        <f>'Cash flow model'!C52</f>
        <v>0.31631578947368422</v>
      </c>
      <c r="E30" s="9"/>
      <c r="F30" s="93">
        <v>2</v>
      </c>
      <c r="G30" s="18" t="str">
        <f>IF(F30=$D$40,"(Refinance)",IF(F30=$D$46,"(Sale)",""))</f>
        <v>(Refinance)</v>
      </c>
      <c r="H30" s="18"/>
      <c r="I30" s="66"/>
      <c r="J30" s="21">
        <v>180419.40000000002</v>
      </c>
    </row>
    <row r="31" spans="2:10">
      <c r="B31" s="26" t="s">
        <v>28</v>
      </c>
      <c r="C31" s="18"/>
      <c r="D31" s="82">
        <f>CAPRate_YR1</f>
        <v>6.0401337792642139E-2</v>
      </c>
      <c r="F31" s="93">
        <v>3</v>
      </c>
      <c r="G31" s="18" t="str">
        <f>IF(F31=$D$40,"(Refinance)",IF(F31=$D$46,"(Sale)",""))</f>
        <v/>
      </c>
      <c r="H31" s="18"/>
      <c r="I31" s="66"/>
      <c r="J31" s="21">
        <v>2842.7697900000021</v>
      </c>
    </row>
    <row r="32" spans="2:10">
      <c r="F32" s="93">
        <v>4</v>
      </c>
      <c r="G32" s="18" t="str">
        <f>IF(F32=$D$40,"(Refinance)",IF(F32=$D$46,"(Sale)",""))</f>
        <v/>
      </c>
      <c r="H32" s="18"/>
      <c r="I32" s="66"/>
      <c r="J32" s="21">
        <v>3798.9181294999998</v>
      </c>
    </row>
    <row r="33" spans="2:10">
      <c r="F33" s="93">
        <v>5</v>
      </c>
      <c r="G33" s="18" t="str">
        <f>IF(F33=$D$40,"(Refinance)",IF(F33=$D$46,"(Sale)",""))</f>
        <v/>
      </c>
      <c r="H33" s="18"/>
      <c r="I33" s="66"/>
      <c r="J33" s="21">
        <v>4748.5456710262533</v>
      </c>
    </row>
    <row r="34" spans="2:10">
      <c r="B34" s="115" t="s">
        <v>29</v>
      </c>
      <c r="C34" s="115"/>
      <c r="D34" s="8"/>
      <c r="F34" s="93">
        <v>6</v>
      </c>
      <c r="G34" s="18" t="str">
        <f>IF(F34=$D$40,"(Refinance)",IF(F34=$D$46,"(Sale)",""))</f>
        <v/>
      </c>
      <c r="H34" s="18"/>
      <c r="I34" s="66"/>
      <c r="J34" s="21">
        <v>5685.9023488974362</v>
      </c>
    </row>
    <row r="35" spans="2:10">
      <c r="B35" s="114"/>
      <c r="C35" s="114"/>
      <c r="D35" s="18"/>
      <c r="F35" s="93">
        <v>7</v>
      </c>
      <c r="G35" s="18" t="str">
        <f>IF(F35=$D$40,"(Refinance)",IF(F35=$D$46,"(Sale)",""))</f>
        <v/>
      </c>
      <c r="H35" s="18"/>
      <c r="I35" s="66"/>
      <c r="J35" s="21">
        <v>6605.0161064059685</v>
      </c>
    </row>
    <row r="36" spans="2:10">
      <c r="B36" s="29" t="s">
        <v>30</v>
      </c>
      <c r="C36" s="18"/>
      <c r="D36" s="21">
        <f>D22</f>
        <v>239200</v>
      </c>
      <c r="F36" s="93">
        <v>8</v>
      </c>
      <c r="G36" s="18" t="str">
        <f>IF(F36=$D$40,"(Refinance)",IF(F36=$D$46,"(Sale)",""))</f>
        <v/>
      </c>
      <c r="H36" s="18"/>
      <c r="I36" s="66"/>
      <c r="J36" s="21">
        <v>7499.7406133028326</v>
      </c>
    </row>
    <row r="37" spans="2:10">
      <c r="B37" s="30" t="s">
        <v>31</v>
      </c>
      <c r="C37" s="18"/>
      <c r="D37" s="100">
        <v>0.06</v>
      </c>
      <c r="F37" s="93">
        <v>9</v>
      </c>
      <c r="G37" s="18" t="str">
        <f>IF(F37=$D$40,"(Refinance)",IF(F37=$D$46,"(Sale)",""))</f>
        <v/>
      </c>
      <c r="H37" s="18"/>
      <c r="I37" s="66"/>
      <c r="J37" s="21">
        <v>8363.8075189738993</v>
      </c>
    </row>
    <row r="38" spans="2:10">
      <c r="B38" s="29" t="s">
        <v>32</v>
      </c>
      <c r="C38" s="18"/>
      <c r="D38" s="21"/>
      <c r="F38" s="93">
        <v>10</v>
      </c>
      <c r="G38" s="18" t="str">
        <f>IF(F38=$D$40,"(Refinance)",IF(F38=$D$46,"(Sale)",""))</f>
        <v>(Sale)</v>
      </c>
      <c r="H38" s="18"/>
      <c r="I38" s="66"/>
      <c r="J38" s="21">
        <v>211613.36073464301</v>
      </c>
    </row>
    <row r="39" spans="2:10">
      <c r="B39" s="66" t="s">
        <v>33</v>
      </c>
      <c r="C39" s="18"/>
      <c r="D39" s="98">
        <v>0.6</v>
      </c>
      <c r="F39" s="29" t="s">
        <v>34</v>
      </c>
      <c r="G39" s="33"/>
      <c r="H39" s="33"/>
      <c r="I39" s="90"/>
      <c r="J39" s="89">
        <f>SUM(_xlfn.ANCHORARRAY(J29))</f>
        <v>203596.26091274942</v>
      </c>
    </row>
    <row r="40" spans="2:10">
      <c r="B40" s="31" t="s">
        <v>35</v>
      </c>
      <c r="C40" s="18"/>
      <c r="D40" s="83">
        <v>2</v>
      </c>
    </row>
    <row r="41" spans="2:10">
      <c r="B41" s="66" t="s">
        <v>36</v>
      </c>
      <c r="C41" s="18"/>
      <c r="D41" s="88">
        <v>6.25E-2</v>
      </c>
      <c r="F41" s="113" t="s">
        <v>37</v>
      </c>
      <c r="G41" s="113"/>
      <c r="H41" s="113"/>
      <c r="I41" s="113"/>
      <c r="J41" s="113"/>
    </row>
    <row r="42" spans="2:10">
      <c r="B42" s="29" t="s">
        <v>38</v>
      </c>
      <c r="C42" s="18"/>
      <c r="D42" s="21">
        <f>D36</f>
        <v>239200</v>
      </c>
      <c r="F42" s="114"/>
      <c r="G42" s="114"/>
      <c r="H42" s="114"/>
      <c r="I42" s="114"/>
      <c r="J42" s="114"/>
    </row>
    <row r="43" spans="2:10">
      <c r="F43" s="23" t="s">
        <v>39</v>
      </c>
      <c r="G43" s="75"/>
      <c r="H43" s="79"/>
      <c r="I43" s="81"/>
      <c r="J43" s="99">
        <v>2.5000000000000001E-2</v>
      </c>
    </row>
    <row r="44" spans="2:10">
      <c r="B44" s="113" t="s">
        <v>40</v>
      </c>
      <c r="C44" s="113"/>
      <c r="D44" s="49"/>
      <c r="F44" s="91" t="s">
        <v>41</v>
      </c>
      <c r="G44" s="75"/>
      <c r="H44" s="79"/>
      <c r="I44" s="81"/>
      <c r="J44" s="99">
        <v>1.2500000000000001E-2</v>
      </c>
    </row>
    <row r="45" spans="2:10">
      <c r="B45" s="114"/>
      <c r="C45" s="114"/>
      <c r="D45" s="18"/>
      <c r="F45" s="91" t="s">
        <v>42</v>
      </c>
      <c r="G45" s="75"/>
      <c r="H45" s="79"/>
      <c r="I45" s="81"/>
      <c r="J45" s="99">
        <v>0</v>
      </c>
    </row>
    <row r="46" spans="2:10">
      <c r="B46" s="66" t="s">
        <v>43</v>
      </c>
      <c r="C46" s="18"/>
      <c r="D46" s="102">
        <v>10</v>
      </c>
    </row>
  </sheetData>
  <mergeCells count="7">
    <mergeCell ref="B44:C45"/>
    <mergeCell ref="B19:C19"/>
    <mergeCell ref="B25:C26"/>
    <mergeCell ref="B34:C35"/>
    <mergeCell ref="F19:H19"/>
    <mergeCell ref="F25:J26"/>
    <mergeCell ref="F41:J42"/>
  </mergeCells>
  <pageMargins left="0.25" right="0.25" top="0.75" bottom="0.75" header="0.3" footer="0.3"/>
  <pageSetup scale="98" orientation="landscape" r:id="rId1"/>
  <headerFooter>
    <oddHeader>&amp;L &amp;C&amp;"-,Italic"Confidential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CD225-D7AE-4CBC-AFA8-A8B3C3DA9CBE}">
  <sheetPr>
    <pageSetUpPr autoPageBreaks="0" fitToPage="1"/>
  </sheetPr>
  <dimension ref="B1:R151"/>
  <sheetViews>
    <sheetView showGridLines="0" workbookViewId="0">
      <selection activeCell="E17" sqref="E17"/>
    </sheetView>
  </sheetViews>
  <sheetFormatPr defaultColWidth="0" defaultRowHeight="15.75"/>
  <cols>
    <col min="1" max="1" width="2.875" customWidth="1"/>
    <col min="2" max="2" width="34.5" bestFit="1" customWidth="1"/>
    <col min="3" max="3" width="6.875" bestFit="1" customWidth="1"/>
    <col min="4" max="4" width="11.125" bestFit="1" customWidth="1"/>
    <col min="5" max="5" width="12.875" bestFit="1" customWidth="1"/>
    <col min="6" max="13" width="11.125" bestFit="1" customWidth="1"/>
    <col min="14" max="14" width="9.75" customWidth="1"/>
    <col min="15" max="15" width="10.125" hidden="1" customWidth="1"/>
    <col min="16" max="18" width="9" hidden="1" customWidth="1"/>
  </cols>
  <sheetData>
    <row r="1" spans="2:13" ht="23.25">
      <c r="B1" s="116" t="s">
        <v>0</v>
      </c>
      <c r="C1" s="116"/>
      <c r="D1" s="116"/>
      <c r="E1" s="116"/>
      <c r="F1" s="116"/>
    </row>
    <row r="2" spans="2:13" ht="22.5">
      <c r="B2" s="117" t="str">
        <f>Property_Name</f>
        <v>SFR Underwriting Template</v>
      </c>
      <c r="C2" s="117"/>
      <c r="D2" s="117"/>
      <c r="E2" s="117"/>
    </row>
    <row r="4" spans="2:13" s="5" customFormat="1" ht="22.5">
      <c r="B4" s="118" t="s">
        <v>44</v>
      </c>
      <c r="C4" s="118"/>
      <c r="D4" s="118"/>
    </row>
    <row r="6" spans="2:13" ht="23.25">
      <c r="B6" s="115" t="s">
        <v>45</v>
      </c>
      <c r="C6" s="115"/>
    </row>
    <row r="7" spans="2:13">
      <c r="B7" s="19" t="s">
        <v>14</v>
      </c>
      <c r="C7" s="19"/>
      <c r="D7" s="24">
        <f>'Financial analysis'!D20</f>
        <v>260000</v>
      </c>
    </row>
    <row r="8" spans="2:13">
      <c r="B8" s="28" t="s">
        <v>46</v>
      </c>
      <c r="C8" s="19"/>
      <c r="D8" s="20">
        <f>'Financial analysis'!D21</f>
        <v>0.08</v>
      </c>
      <c r="F8" s="9"/>
    </row>
    <row r="9" spans="2:13">
      <c r="B9" s="18" t="s">
        <v>47</v>
      </c>
      <c r="C9" s="18"/>
      <c r="D9" s="21">
        <f>D7*(1-D8)</f>
        <v>239200</v>
      </c>
    </row>
    <row r="10" spans="2:13">
      <c r="B10" s="19" t="s">
        <v>48</v>
      </c>
      <c r="C10" s="19"/>
      <c r="D10" s="84">
        <f>'Financial analysis'!D27</f>
        <v>1900</v>
      </c>
      <c r="G10" s="9"/>
    </row>
    <row r="11" spans="2:13">
      <c r="E11" s="8"/>
      <c r="F11" s="9"/>
    </row>
    <row r="12" spans="2:13">
      <c r="E12" s="94"/>
      <c r="F12" s="94"/>
      <c r="G12" s="94"/>
      <c r="H12" s="94"/>
      <c r="I12" s="94"/>
      <c r="J12" s="94"/>
      <c r="K12" s="94"/>
      <c r="L12" s="94"/>
      <c r="M12" s="94"/>
    </row>
    <row r="13" spans="2:13" ht="23.25">
      <c r="B13" s="115" t="s">
        <v>49</v>
      </c>
      <c r="C13" s="115"/>
      <c r="E13" s="8"/>
    </row>
    <row r="14" spans="2:13">
      <c r="B14" s="33" t="s">
        <v>50</v>
      </c>
      <c r="C14" s="33"/>
      <c r="D14" s="33" cm="1">
        <f t="array" ref="D14:M14">_xlfn.SEQUENCE(1,10,2024,1)</f>
        <v>2024</v>
      </c>
      <c r="E14" s="33">
        <v>2025</v>
      </c>
      <c r="F14" s="33">
        <v>2026</v>
      </c>
      <c r="G14" s="33">
        <v>2027</v>
      </c>
      <c r="H14" s="33">
        <v>2028</v>
      </c>
      <c r="I14" s="33">
        <v>2029</v>
      </c>
      <c r="J14" s="33">
        <v>2030</v>
      </c>
      <c r="K14" s="33">
        <v>2031</v>
      </c>
      <c r="L14" s="33">
        <v>2032</v>
      </c>
      <c r="M14" s="33">
        <v>2033</v>
      </c>
    </row>
    <row r="15" spans="2:13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2:13">
      <c r="B16" s="36" t="s">
        <v>51</v>
      </c>
      <c r="C16" s="45" t="s">
        <v>52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2:13">
      <c r="B17" s="43" t="s">
        <v>53</v>
      </c>
      <c r="C17" s="85">
        <v>2.5000000000000001E-2</v>
      </c>
      <c r="D17" s="86">
        <f>$C$17</f>
        <v>2.5000000000000001E-2</v>
      </c>
      <c r="E17" s="86">
        <f t="shared" ref="E17:M17" si="0">$C$17</f>
        <v>2.5000000000000001E-2</v>
      </c>
      <c r="F17" s="86">
        <f t="shared" si="0"/>
        <v>2.5000000000000001E-2</v>
      </c>
      <c r="G17" s="86">
        <f t="shared" si="0"/>
        <v>2.5000000000000001E-2</v>
      </c>
      <c r="H17" s="86">
        <f t="shared" si="0"/>
        <v>2.5000000000000001E-2</v>
      </c>
      <c r="I17" s="86">
        <f t="shared" si="0"/>
        <v>2.5000000000000001E-2</v>
      </c>
      <c r="J17" s="86">
        <f t="shared" si="0"/>
        <v>2.5000000000000001E-2</v>
      </c>
      <c r="K17" s="86">
        <f t="shared" si="0"/>
        <v>2.5000000000000001E-2</v>
      </c>
      <c r="L17" s="86">
        <f t="shared" si="0"/>
        <v>2.5000000000000001E-2</v>
      </c>
      <c r="M17" s="86">
        <f t="shared" si="0"/>
        <v>2.5000000000000001E-2</v>
      </c>
    </row>
    <row r="18" spans="2:13">
      <c r="B18" s="43" t="s">
        <v>54</v>
      </c>
      <c r="C18" s="85">
        <v>-2.5000000000000001E-3</v>
      </c>
      <c r="D18" s="104">
        <v>0.03</v>
      </c>
      <c r="E18" s="86">
        <f>MAX(0,D18+$C$18)</f>
        <v>2.75E-2</v>
      </c>
      <c r="F18" s="86">
        <f t="shared" ref="F18:M18" si="1">MAX(0,E18+$C$18)</f>
        <v>2.5000000000000001E-2</v>
      </c>
      <c r="G18" s="86">
        <f t="shared" si="1"/>
        <v>2.2500000000000003E-2</v>
      </c>
      <c r="H18" s="86">
        <f t="shared" si="1"/>
        <v>2.0000000000000004E-2</v>
      </c>
      <c r="I18" s="86">
        <f t="shared" si="1"/>
        <v>1.7500000000000005E-2</v>
      </c>
      <c r="J18" s="86">
        <f t="shared" si="1"/>
        <v>1.5000000000000005E-2</v>
      </c>
      <c r="K18" s="86">
        <f t="shared" si="1"/>
        <v>1.2500000000000004E-2</v>
      </c>
      <c r="L18" s="86">
        <f t="shared" si="1"/>
        <v>1.0000000000000004E-2</v>
      </c>
      <c r="M18" s="86">
        <f t="shared" si="1"/>
        <v>7.5000000000000032E-3</v>
      </c>
    </row>
    <row r="19" spans="2:13">
      <c r="B19" s="46" t="s">
        <v>55</v>
      </c>
      <c r="C19" s="36"/>
      <c r="D19" s="36">
        <f>SUM(D17:D18)</f>
        <v>5.5E-2</v>
      </c>
      <c r="E19" s="36">
        <f>SUM(E17:E18)</f>
        <v>5.2500000000000005E-2</v>
      </c>
      <c r="F19" s="36">
        <f t="shared" ref="F19:M19" si="2">SUM(F17:F18)</f>
        <v>0.05</v>
      </c>
      <c r="G19" s="36">
        <f t="shared" si="2"/>
        <v>4.7500000000000001E-2</v>
      </c>
      <c r="H19" s="36">
        <f t="shared" si="2"/>
        <v>4.5000000000000005E-2</v>
      </c>
      <c r="I19" s="36">
        <f t="shared" si="2"/>
        <v>4.250000000000001E-2</v>
      </c>
      <c r="J19" s="36">
        <f t="shared" si="2"/>
        <v>4.0000000000000008E-2</v>
      </c>
      <c r="K19" s="36">
        <f t="shared" si="2"/>
        <v>3.7500000000000006E-2</v>
      </c>
      <c r="L19" s="36">
        <f t="shared" si="2"/>
        <v>3.5000000000000003E-2</v>
      </c>
      <c r="M19" s="36">
        <f t="shared" si="2"/>
        <v>3.2500000000000001E-2</v>
      </c>
    </row>
    <row r="20" spans="2:13">
      <c r="B20" s="43"/>
      <c r="C20" s="20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2:13">
      <c r="B21" s="50" t="s">
        <v>56</v>
      </c>
      <c r="C21" s="45" t="s">
        <v>52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2:13">
      <c r="B22" s="43" t="s">
        <v>53</v>
      </c>
      <c r="C22" s="44"/>
      <c r="D22" s="41">
        <f>D17</f>
        <v>2.5000000000000001E-2</v>
      </c>
      <c r="E22" s="41">
        <f>E17</f>
        <v>2.5000000000000001E-2</v>
      </c>
      <c r="F22" s="41">
        <f>F17</f>
        <v>2.5000000000000001E-2</v>
      </c>
      <c r="G22" s="41">
        <f>G17</f>
        <v>2.5000000000000001E-2</v>
      </c>
      <c r="H22" s="41">
        <f t="shared" ref="H22:M22" si="3">H17</f>
        <v>2.5000000000000001E-2</v>
      </c>
      <c r="I22" s="41">
        <f t="shared" si="3"/>
        <v>2.5000000000000001E-2</v>
      </c>
      <c r="J22" s="41">
        <f t="shared" si="3"/>
        <v>2.5000000000000001E-2</v>
      </c>
      <c r="K22" s="41">
        <f t="shared" si="3"/>
        <v>2.5000000000000001E-2</v>
      </c>
      <c r="L22" s="41">
        <f t="shared" si="3"/>
        <v>2.5000000000000001E-2</v>
      </c>
      <c r="M22" s="41">
        <f t="shared" si="3"/>
        <v>2.5000000000000001E-2</v>
      </c>
    </row>
    <row r="23" spans="2:13">
      <c r="B23" s="43" t="s">
        <v>57</v>
      </c>
      <c r="C23" s="85">
        <v>2.5000000000000001E-2</v>
      </c>
      <c r="D23" s="41">
        <f>C23</f>
        <v>2.5000000000000001E-2</v>
      </c>
      <c r="E23" s="41">
        <f t="shared" ref="E23:M23" si="4">D23</f>
        <v>2.5000000000000001E-2</v>
      </c>
      <c r="F23" s="41">
        <f t="shared" si="4"/>
        <v>2.5000000000000001E-2</v>
      </c>
      <c r="G23" s="41">
        <f t="shared" si="4"/>
        <v>2.5000000000000001E-2</v>
      </c>
      <c r="H23" s="41">
        <f t="shared" si="4"/>
        <v>2.5000000000000001E-2</v>
      </c>
      <c r="I23" s="41">
        <f t="shared" si="4"/>
        <v>2.5000000000000001E-2</v>
      </c>
      <c r="J23" s="41">
        <f t="shared" si="4"/>
        <v>2.5000000000000001E-2</v>
      </c>
      <c r="K23" s="41">
        <f t="shared" si="4"/>
        <v>2.5000000000000001E-2</v>
      </c>
      <c r="L23" s="41">
        <f t="shared" si="4"/>
        <v>2.5000000000000001E-2</v>
      </c>
      <c r="M23" s="41">
        <f t="shared" si="4"/>
        <v>2.5000000000000001E-2</v>
      </c>
    </row>
    <row r="25" spans="2:13">
      <c r="E25" s="8"/>
    </row>
    <row r="26" spans="2:13" ht="23.25">
      <c r="B26" s="115" t="s">
        <v>58</v>
      </c>
      <c r="C26" s="115"/>
      <c r="E26" s="8"/>
    </row>
    <row r="27" spans="2:13">
      <c r="B27" s="33" t="s">
        <v>50</v>
      </c>
      <c r="C27" s="33"/>
      <c r="D27" s="33" cm="1">
        <f t="array" ref="D27:M27">_xlfn.SEQUENCE(1,10,2024,1)</f>
        <v>2024</v>
      </c>
      <c r="E27" s="33">
        <v>2025</v>
      </c>
      <c r="F27" s="33">
        <v>2026</v>
      </c>
      <c r="G27" s="33">
        <v>2027</v>
      </c>
      <c r="H27" s="33">
        <v>2028</v>
      </c>
      <c r="I27" s="33">
        <v>2029</v>
      </c>
      <c r="J27" s="33">
        <v>2030</v>
      </c>
      <c r="K27" s="33">
        <v>2031</v>
      </c>
      <c r="L27" s="33">
        <v>2032</v>
      </c>
      <c r="M27" s="33">
        <v>2033</v>
      </c>
    </row>
    <row r="28" spans="2:13">
      <c r="B28" s="53" t="s">
        <v>59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2:13">
      <c r="B29" s="54" t="s">
        <v>35</v>
      </c>
      <c r="C29" s="56"/>
      <c r="D29" s="65" t="b">
        <f>D40-'Financial analysis'!$D$40+1=$D$40</f>
        <v>0</v>
      </c>
      <c r="E29" s="65" t="b">
        <f>E40-'Financial analysis'!$D$40+1=$D$40</f>
        <v>1</v>
      </c>
      <c r="F29" s="65" t="b">
        <f>F40-'Financial analysis'!$D$40+1=$D$40</f>
        <v>0</v>
      </c>
      <c r="G29" s="65" t="b">
        <f>G40-'Financial analysis'!$D$40+1=$D$40</f>
        <v>0</v>
      </c>
      <c r="H29" s="65" t="b">
        <f>H40-'Financial analysis'!$D$40+1=$D$40</f>
        <v>0</v>
      </c>
      <c r="I29" s="65" t="b">
        <f>I40-'Financial analysis'!$D$40+1=$D$40</f>
        <v>0</v>
      </c>
      <c r="J29" s="65" t="b">
        <f>J40-'Financial analysis'!$D$40+1=$D$40</f>
        <v>0</v>
      </c>
      <c r="K29" s="65" t="b">
        <f>K40-'Financial analysis'!$D$40+1=$D$40</f>
        <v>0</v>
      </c>
      <c r="L29" s="65" t="b">
        <f>L40-'Financial analysis'!$D$40+1=$D$40</f>
        <v>0</v>
      </c>
      <c r="M29" s="65" t="b">
        <f>M40-'Financial analysis'!$D$40+1=$D$40</f>
        <v>0</v>
      </c>
    </row>
    <row r="30" spans="2:13">
      <c r="B30" s="54" t="s">
        <v>43</v>
      </c>
      <c r="C30" s="56"/>
      <c r="D30" s="65" t="b">
        <f>D40-'Financial analysis'!$D$46='Cash flow model'!$D$40</f>
        <v>0</v>
      </c>
      <c r="E30" s="65" t="b">
        <f>E40-'Financial analysis'!$D$46+1='Cash flow model'!$D$40</f>
        <v>0</v>
      </c>
      <c r="F30" s="65" t="b">
        <f>F40-'Financial analysis'!$D$46+1='Cash flow model'!$D$40</f>
        <v>0</v>
      </c>
      <c r="G30" s="65" t="b">
        <f>G40-'Financial analysis'!$D$46+1='Cash flow model'!$D$40</f>
        <v>0</v>
      </c>
      <c r="H30" s="65" t="b">
        <f>H40-'Financial analysis'!$D$46+1='Cash flow model'!$D$40</f>
        <v>0</v>
      </c>
      <c r="I30" s="65" t="b">
        <f>I40-'Financial analysis'!$D$46+1='Cash flow model'!$D$40</f>
        <v>0</v>
      </c>
      <c r="J30" s="65" t="b">
        <f>J40-'Financial analysis'!$D$46+1='Cash flow model'!$D$40</f>
        <v>0</v>
      </c>
      <c r="K30" s="65" t="b">
        <f>K40-'Financial analysis'!$D$46+1='Cash flow model'!$D$40</f>
        <v>0</v>
      </c>
      <c r="L30" s="65" t="b">
        <f>L40-'Financial analysis'!$D$46+1='Cash flow model'!$D$40</f>
        <v>0</v>
      </c>
      <c r="M30" s="65" t="b">
        <f>M40-'Financial analysis'!$D$46+1='Cash flow model'!$D$40</f>
        <v>1</v>
      </c>
    </row>
    <row r="31" spans="2:13">
      <c r="B31" s="72" t="s">
        <v>60</v>
      </c>
      <c r="C31" s="56"/>
      <c r="D31" s="65" t="b">
        <f>OR(D30,C31)</f>
        <v>0</v>
      </c>
      <c r="E31" s="65" t="b">
        <f t="shared" ref="E31:J31" si="5">OR(E30,D31)</f>
        <v>0</v>
      </c>
      <c r="F31" s="65" t="b">
        <f t="shared" si="5"/>
        <v>0</v>
      </c>
      <c r="G31" s="65" t="b">
        <f t="shared" si="5"/>
        <v>0</v>
      </c>
      <c r="H31" s="65" t="b">
        <f t="shared" si="5"/>
        <v>0</v>
      </c>
      <c r="I31" s="65" t="b">
        <f t="shared" si="5"/>
        <v>0</v>
      </c>
      <c r="J31" s="65" t="b">
        <f t="shared" si="5"/>
        <v>0</v>
      </c>
      <c r="K31" s="65" t="b">
        <f>OR(J30,J31)</f>
        <v>0</v>
      </c>
      <c r="L31" s="65" t="b">
        <f>OR(K30,K31)</f>
        <v>0</v>
      </c>
      <c r="M31" s="65" t="b">
        <f>OR(L30,L31)</f>
        <v>0</v>
      </c>
    </row>
    <row r="32" spans="2:13">
      <c r="B32" s="33" t="s">
        <v>61</v>
      </c>
      <c r="C32" s="18"/>
      <c r="D32" s="18"/>
      <c r="E32" s="22"/>
      <c r="F32" s="22"/>
      <c r="G32" s="22"/>
      <c r="H32" s="22"/>
      <c r="I32" s="22"/>
      <c r="J32" s="22"/>
      <c r="K32" s="22"/>
      <c r="L32" s="22"/>
      <c r="M32" s="22"/>
    </row>
    <row r="33" spans="2:13">
      <c r="B33" s="27" t="s">
        <v>62</v>
      </c>
      <c r="C33" s="44"/>
      <c r="D33" s="38">
        <f>D9/(1-D8)</f>
        <v>260000</v>
      </c>
      <c r="E33" s="21">
        <f>D33*(1+D19)</f>
        <v>274300</v>
      </c>
      <c r="F33" s="21">
        <f t="shared" ref="F33:M33" si="6">E33*(1+E19)</f>
        <v>288700.75</v>
      </c>
      <c r="G33" s="21">
        <f t="shared" si="6"/>
        <v>303135.78750000003</v>
      </c>
      <c r="H33" s="21">
        <f t="shared" si="6"/>
        <v>317534.73740625009</v>
      </c>
      <c r="I33" s="21">
        <f t="shared" si="6"/>
        <v>331823.80058953131</v>
      </c>
      <c r="J33" s="21">
        <f t="shared" si="6"/>
        <v>345926.31211458641</v>
      </c>
      <c r="K33" s="21">
        <f t="shared" si="6"/>
        <v>359763.36459916987</v>
      </c>
      <c r="L33" s="21">
        <f t="shared" si="6"/>
        <v>373254.49077163875</v>
      </c>
      <c r="M33" s="21">
        <f t="shared" si="6"/>
        <v>386318.3979486461</v>
      </c>
    </row>
    <row r="34" spans="2:13">
      <c r="B34" s="27" t="s">
        <v>63</v>
      </c>
      <c r="C34" s="44"/>
      <c r="D34" s="21">
        <f>IF(D29,'Financial analysis'!$D$39*'Cash flow model'!D33,C34)</f>
        <v>0</v>
      </c>
      <c r="E34" s="21">
        <f>IF(E29,'Financial analysis'!$D$39*'Cash flow model'!E33,D34)</f>
        <v>164580</v>
      </c>
      <c r="F34" s="21">
        <f>IF(F29,'Financial analysis'!$D$39*'Cash flow model'!F33,E34)</f>
        <v>164580</v>
      </c>
      <c r="G34" s="21">
        <f>IF(G29,'Financial analysis'!$D$39*'Cash flow model'!G33,F34)</f>
        <v>164580</v>
      </c>
      <c r="H34" s="21">
        <f>IF(H29,'Financial analysis'!$D$39*'Cash flow model'!H33,G34)</f>
        <v>164580</v>
      </c>
      <c r="I34" s="21">
        <f>IF(I29,'Financial analysis'!$D$39*'Cash flow model'!I33,H34)</f>
        <v>164580</v>
      </c>
      <c r="J34" s="21">
        <f>IF(J29,'Financial analysis'!$D$39*'Cash flow model'!J33,I34)</f>
        <v>164580</v>
      </c>
      <c r="K34" s="21">
        <f>IF(K29,'Financial analysis'!$D$39*'Cash flow model'!K33,J34)</f>
        <v>164580</v>
      </c>
      <c r="L34" s="21">
        <f>IF(L29,'Financial analysis'!$D$39*'Cash flow model'!L33,K34)</f>
        <v>164580</v>
      </c>
      <c r="M34" s="21">
        <f>IF(M29,'Financial analysis'!$D$39*'Cash flow model'!M33,L34)</f>
        <v>164580</v>
      </c>
    </row>
    <row r="35" spans="2:13">
      <c r="B35" s="27" t="s">
        <v>64</v>
      </c>
      <c r="C35" s="44"/>
      <c r="D35" s="38">
        <f t="shared" ref="D35:M35" si="7">D33-D34</f>
        <v>260000</v>
      </c>
      <c r="E35" s="38">
        <f t="shared" si="7"/>
        <v>109720</v>
      </c>
      <c r="F35" s="38">
        <f t="shared" si="7"/>
        <v>124120.75</v>
      </c>
      <c r="G35" s="38">
        <f t="shared" si="7"/>
        <v>138555.78750000003</v>
      </c>
      <c r="H35" s="38">
        <f t="shared" si="7"/>
        <v>152954.73740625009</v>
      </c>
      <c r="I35" s="38">
        <f t="shared" si="7"/>
        <v>167243.80058953131</v>
      </c>
      <c r="J35" s="38">
        <f t="shared" si="7"/>
        <v>181346.31211458641</v>
      </c>
      <c r="K35" s="38">
        <f t="shared" si="7"/>
        <v>195183.36459916987</v>
      </c>
      <c r="L35" s="38">
        <f t="shared" si="7"/>
        <v>208674.49077163875</v>
      </c>
      <c r="M35" s="38">
        <f t="shared" si="7"/>
        <v>221738.3979486461</v>
      </c>
    </row>
    <row r="36" spans="2:13">
      <c r="E36" s="8"/>
    </row>
    <row r="37" spans="2:13">
      <c r="E37" s="8"/>
    </row>
    <row r="38" spans="2:13" s="5" customFormat="1" ht="22.5">
      <c r="B38" s="118" t="s">
        <v>65</v>
      </c>
      <c r="C38" s="118"/>
      <c r="D38" s="118"/>
    </row>
    <row r="40" spans="2:13">
      <c r="B40" s="33" t="s">
        <v>50</v>
      </c>
      <c r="C40" s="33"/>
      <c r="D40" s="33" cm="1">
        <f t="array" ref="D40:M40">_xlfn.SEQUENCE(1,10,2024,1)</f>
        <v>2024</v>
      </c>
      <c r="E40" s="33">
        <v>2025</v>
      </c>
      <c r="F40" s="33">
        <v>2026</v>
      </c>
      <c r="G40" s="33">
        <v>2027</v>
      </c>
      <c r="H40" s="33">
        <v>2028</v>
      </c>
      <c r="I40" s="33">
        <v>2029</v>
      </c>
      <c r="J40" s="33">
        <v>2030</v>
      </c>
      <c r="K40" s="33">
        <v>2031</v>
      </c>
      <c r="L40" s="33">
        <v>2032</v>
      </c>
      <c r="M40" s="33">
        <v>2033</v>
      </c>
    </row>
    <row r="41" spans="2:13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>
      <c r="B42" s="33" t="s">
        <v>66</v>
      </c>
      <c r="C42" s="44"/>
      <c r="D42" s="48">
        <f>D10*12</f>
        <v>22800</v>
      </c>
      <c r="E42" s="48">
        <f>D42*(1+D19)</f>
        <v>24054</v>
      </c>
      <c r="F42" s="48">
        <f t="shared" ref="F42:M42" si="8">E42*(1+E19)</f>
        <v>25316.834999999999</v>
      </c>
      <c r="G42" s="48">
        <f t="shared" si="8"/>
        <v>26582.676749999999</v>
      </c>
      <c r="H42" s="48">
        <f t="shared" si="8"/>
        <v>27845.353895625001</v>
      </c>
      <c r="I42" s="48">
        <f t="shared" si="8"/>
        <v>29098.394820928126</v>
      </c>
      <c r="J42" s="48">
        <f t="shared" si="8"/>
        <v>30335.076600817571</v>
      </c>
      <c r="K42" s="48">
        <f t="shared" si="8"/>
        <v>31548.479664850274</v>
      </c>
      <c r="L42" s="48">
        <f t="shared" si="8"/>
        <v>32731.547652282163</v>
      </c>
      <c r="M42" s="48">
        <f t="shared" si="8"/>
        <v>33877.151820112034</v>
      </c>
    </row>
    <row r="43" spans="2:13">
      <c r="B43" s="27" t="s">
        <v>25</v>
      </c>
      <c r="C43" s="85">
        <v>0.05</v>
      </c>
      <c r="D43" s="38">
        <f>$C$43*D42</f>
        <v>1140</v>
      </c>
      <c r="E43" s="38">
        <f t="shared" ref="E43:M43" si="9">$C$43*E42</f>
        <v>1202.7</v>
      </c>
      <c r="F43" s="38">
        <f t="shared" si="9"/>
        <v>1265.84175</v>
      </c>
      <c r="G43" s="38">
        <f t="shared" si="9"/>
        <v>1329.1338375</v>
      </c>
      <c r="H43" s="38">
        <f t="shared" si="9"/>
        <v>1392.2676947812502</v>
      </c>
      <c r="I43" s="38">
        <f t="shared" si="9"/>
        <v>1454.9197410464064</v>
      </c>
      <c r="J43" s="38">
        <f t="shared" si="9"/>
        <v>1516.7538300408787</v>
      </c>
      <c r="K43" s="38">
        <f t="shared" si="9"/>
        <v>1577.4239832425137</v>
      </c>
      <c r="L43" s="38">
        <f t="shared" si="9"/>
        <v>1636.5773826141083</v>
      </c>
      <c r="M43" s="38">
        <f t="shared" si="9"/>
        <v>1693.8575910056018</v>
      </c>
    </row>
    <row r="44" spans="2:13">
      <c r="B44" s="18" t="s">
        <v>67</v>
      </c>
      <c r="C44" s="85"/>
      <c r="D44" s="38">
        <f>D42-D43</f>
        <v>21660</v>
      </c>
      <c r="E44" s="38">
        <f t="shared" ref="E44:M44" si="10">E42-E43</f>
        <v>22851.3</v>
      </c>
      <c r="F44" s="38">
        <f t="shared" si="10"/>
        <v>24050.99325</v>
      </c>
      <c r="G44" s="38">
        <f t="shared" si="10"/>
        <v>25253.542912499997</v>
      </c>
      <c r="H44" s="38">
        <f t="shared" si="10"/>
        <v>26453.086200843751</v>
      </c>
      <c r="I44" s="38">
        <f t="shared" si="10"/>
        <v>27643.475079881719</v>
      </c>
      <c r="J44" s="38">
        <f t="shared" si="10"/>
        <v>28818.322770776693</v>
      </c>
      <c r="K44" s="38">
        <f t="shared" si="10"/>
        <v>29971.055681607759</v>
      </c>
      <c r="L44" s="38">
        <f t="shared" si="10"/>
        <v>31094.970269668054</v>
      </c>
      <c r="M44" s="38">
        <f t="shared" si="10"/>
        <v>32183.294229106432</v>
      </c>
    </row>
    <row r="45" spans="2:13">
      <c r="B45" s="18"/>
      <c r="C45" s="85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2:13">
      <c r="B46" s="33" t="s">
        <v>68</v>
      </c>
      <c r="C46" s="85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2:13">
      <c r="B47" s="27" t="s">
        <v>69</v>
      </c>
      <c r="C47" s="85">
        <v>1.0999999999999999E-2</v>
      </c>
      <c r="D47" s="21">
        <f>$C$47*$D$9</f>
        <v>2631.2</v>
      </c>
      <c r="E47" s="21">
        <f t="shared" ref="E47:M47" si="11">D47*(1+D23)</f>
        <v>2696.9799999999996</v>
      </c>
      <c r="F47" s="21">
        <f t="shared" si="11"/>
        <v>2764.4044999999992</v>
      </c>
      <c r="G47" s="21">
        <f t="shared" si="11"/>
        <v>2833.5146124999987</v>
      </c>
      <c r="H47" s="21">
        <f t="shared" si="11"/>
        <v>2904.3524778124984</v>
      </c>
      <c r="I47" s="21">
        <f t="shared" si="11"/>
        <v>2976.9612897578104</v>
      </c>
      <c r="J47" s="21">
        <f t="shared" si="11"/>
        <v>3051.3853220017554</v>
      </c>
      <c r="K47" s="21">
        <f t="shared" si="11"/>
        <v>3127.6699550517992</v>
      </c>
      <c r="L47" s="21">
        <f t="shared" si="11"/>
        <v>3205.8617039280939</v>
      </c>
      <c r="M47" s="21">
        <f t="shared" si="11"/>
        <v>3286.0082465262958</v>
      </c>
    </row>
    <row r="48" spans="2:13">
      <c r="B48" s="27" t="s">
        <v>70</v>
      </c>
      <c r="C48" s="85">
        <v>3.5000000000000001E-3</v>
      </c>
      <c r="D48" s="21">
        <f>$D$33*$C$48</f>
        <v>910</v>
      </c>
      <c r="E48" s="21">
        <f t="shared" ref="E48:M48" si="12">D48*(1+D$22)</f>
        <v>932.74999999999989</v>
      </c>
      <c r="F48" s="21">
        <f t="shared" si="12"/>
        <v>956.0687499999998</v>
      </c>
      <c r="G48" s="21">
        <f t="shared" si="12"/>
        <v>979.97046874999967</v>
      </c>
      <c r="H48" s="21">
        <f t="shared" si="12"/>
        <v>1004.4697304687496</v>
      </c>
      <c r="I48" s="21">
        <f t="shared" si="12"/>
        <v>1029.5814737304684</v>
      </c>
      <c r="J48" s="21">
        <f t="shared" si="12"/>
        <v>1055.3210105737301</v>
      </c>
      <c r="K48" s="21">
        <f t="shared" si="12"/>
        <v>1081.7040358380732</v>
      </c>
      <c r="L48" s="21">
        <f t="shared" si="12"/>
        <v>1108.7466367340248</v>
      </c>
      <c r="M48" s="21">
        <f t="shared" si="12"/>
        <v>1136.4653026523754</v>
      </c>
    </row>
    <row r="49" spans="2:18">
      <c r="B49" s="27" t="s">
        <v>71</v>
      </c>
      <c r="C49" s="85">
        <v>0.08</v>
      </c>
      <c r="D49" s="21">
        <f>$C$49*D44</f>
        <v>1732.8</v>
      </c>
      <c r="E49" s="21">
        <f t="shared" ref="E49:M49" si="13">$C$49*E44</f>
        <v>1828.104</v>
      </c>
      <c r="F49" s="21">
        <f t="shared" si="13"/>
        <v>1924.0794599999999</v>
      </c>
      <c r="G49" s="21">
        <f t="shared" si="13"/>
        <v>2020.2834329999998</v>
      </c>
      <c r="H49" s="21">
        <f t="shared" si="13"/>
        <v>2116.2468960675001</v>
      </c>
      <c r="I49" s="21">
        <f t="shared" si="13"/>
        <v>2211.4780063905378</v>
      </c>
      <c r="J49" s="21">
        <f t="shared" si="13"/>
        <v>2305.4658216621356</v>
      </c>
      <c r="K49" s="21">
        <f t="shared" si="13"/>
        <v>2397.6844545286208</v>
      </c>
      <c r="L49" s="21">
        <f t="shared" si="13"/>
        <v>2487.5976215734445</v>
      </c>
      <c r="M49" s="21">
        <f t="shared" si="13"/>
        <v>2574.6635383285147</v>
      </c>
      <c r="R49" s="8"/>
    </row>
    <row r="50" spans="2:18">
      <c r="B50" s="27" t="s">
        <v>72</v>
      </c>
      <c r="C50" s="85">
        <v>7.4999999999999997E-2</v>
      </c>
      <c r="D50" s="21">
        <f>C50*$D$42</f>
        <v>1710</v>
      </c>
      <c r="E50" s="38">
        <f t="shared" ref="E50:M50" si="14">D50*(1+D22)</f>
        <v>1752.7499999999998</v>
      </c>
      <c r="F50" s="38">
        <f t="shared" si="14"/>
        <v>1796.5687499999997</v>
      </c>
      <c r="G50" s="38">
        <f t="shared" si="14"/>
        <v>1841.4829687499996</v>
      </c>
      <c r="H50" s="38">
        <f t="shared" si="14"/>
        <v>1887.5200429687495</v>
      </c>
      <c r="I50" s="38">
        <f t="shared" si="14"/>
        <v>1934.7080440429681</v>
      </c>
      <c r="J50" s="38">
        <f t="shared" si="14"/>
        <v>1983.0757451440422</v>
      </c>
      <c r="K50" s="38">
        <f t="shared" si="14"/>
        <v>2032.6526387726431</v>
      </c>
      <c r="L50" s="38">
        <f t="shared" si="14"/>
        <v>2083.4689547419589</v>
      </c>
      <c r="M50" s="38">
        <f t="shared" si="14"/>
        <v>2135.5556786105076</v>
      </c>
    </row>
    <row r="51" spans="2:18">
      <c r="B51" s="27" t="s">
        <v>73</v>
      </c>
      <c r="C51" s="85">
        <v>0.01</v>
      </c>
      <c r="D51" s="21">
        <f>C51*$D$42</f>
        <v>228</v>
      </c>
      <c r="E51" s="21">
        <f t="shared" ref="E51:M51" si="15">D51*(1+$D$22)</f>
        <v>233.7</v>
      </c>
      <c r="F51" s="21">
        <f t="shared" si="15"/>
        <v>239.54249999999996</v>
      </c>
      <c r="G51" s="21">
        <f t="shared" si="15"/>
        <v>245.53106249999993</v>
      </c>
      <c r="H51" s="21">
        <f t="shared" si="15"/>
        <v>251.66933906249992</v>
      </c>
      <c r="I51" s="21">
        <f t="shared" si="15"/>
        <v>257.9610725390624</v>
      </c>
      <c r="J51" s="21">
        <f t="shared" si="15"/>
        <v>264.41009935253896</v>
      </c>
      <c r="K51" s="21">
        <f t="shared" si="15"/>
        <v>271.0203518363524</v>
      </c>
      <c r="L51" s="21">
        <f t="shared" si="15"/>
        <v>277.79586063226117</v>
      </c>
      <c r="M51" s="21">
        <f t="shared" si="15"/>
        <v>284.74075714806764</v>
      </c>
    </row>
    <row r="52" spans="2:18">
      <c r="B52" s="47" t="s">
        <v>74</v>
      </c>
      <c r="C52" s="44">
        <f>D52/D42</f>
        <v>0.31631578947368422</v>
      </c>
      <c r="D52" s="48">
        <f>SUM(D47:D51)</f>
        <v>7212</v>
      </c>
      <c r="E52" s="48">
        <f t="shared" ref="E52:M52" si="16">SUM(E47:E51)</f>
        <v>7444.2839999999997</v>
      </c>
      <c r="F52" s="48">
        <f t="shared" si="16"/>
        <v>7680.663959999998</v>
      </c>
      <c r="G52" s="48">
        <f t="shared" si="16"/>
        <v>7920.7825454999984</v>
      </c>
      <c r="H52" s="48">
        <f t="shared" si="16"/>
        <v>8164.2584863799966</v>
      </c>
      <c r="I52" s="48">
        <f t="shared" si="16"/>
        <v>8410.6898864608465</v>
      </c>
      <c r="J52" s="48">
        <f t="shared" si="16"/>
        <v>8659.6579987342011</v>
      </c>
      <c r="K52" s="48">
        <f t="shared" si="16"/>
        <v>8910.7314360274886</v>
      </c>
      <c r="L52" s="48">
        <f t="shared" si="16"/>
        <v>9163.4707776097821</v>
      </c>
      <c r="M52" s="48">
        <f t="shared" si="16"/>
        <v>9417.4335232657613</v>
      </c>
    </row>
    <row r="53" spans="2:18">
      <c r="B53" s="40"/>
      <c r="C53" s="44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2:18">
      <c r="B54" s="33" t="s">
        <v>75</v>
      </c>
      <c r="C54" s="44">
        <f>D54/D42</f>
        <v>0.63368421052631574</v>
      </c>
      <c r="D54" s="48">
        <f>D44-D52</f>
        <v>14448</v>
      </c>
      <c r="E54" s="48">
        <f>E44-E52</f>
        <v>15407.016</v>
      </c>
      <c r="F54" s="48">
        <f t="shared" ref="F54:M54" si="17">F44-F52</f>
        <v>16370.329290000001</v>
      </c>
      <c r="G54" s="48">
        <f t="shared" si="17"/>
        <v>17332.760366999999</v>
      </c>
      <c r="H54" s="48">
        <f t="shared" si="17"/>
        <v>18288.827714463754</v>
      </c>
      <c r="I54" s="48">
        <f t="shared" si="17"/>
        <v>19232.785193420874</v>
      </c>
      <c r="J54" s="48">
        <f t="shared" si="17"/>
        <v>20158.664772042492</v>
      </c>
      <c r="K54" s="48">
        <f t="shared" si="17"/>
        <v>21060.324245580268</v>
      </c>
      <c r="L54" s="48">
        <f t="shared" si="17"/>
        <v>21931.499492058272</v>
      </c>
      <c r="M54" s="48">
        <f t="shared" si="17"/>
        <v>22765.860705840671</v>
      </c>
      <c r="O54" s="15"/>
    </row>
    <row r="55" spans="2:18">
      <c r="B55" s="51" t="s">
        <v>76</v>
      </c>
      <c r="C55" s="44"/>
      <c r="D55" s="52">
        <f t="shared" ref="D55:M55" si="18">D54/$D$9</f>
        <v>6.0401337792642139E-2</v>
      </c>
      <c r="E55" s="52">
        <f t="shared" si="18"/>
        <v>6.4410602006688966E-2</v>
      </c>
      <c r="F55" s="52">
        <f t="shared" si="18"/>
        <v>6.8437831479933112E-2</v>
      </c>
      <c r="G55" s="52">
        <f t="shared" si="18"/>
        <v>7.2461372771739127E-2</v>
      </c>
      <c r="H55" s="52">
        <f t="shared" si="18"/>
        <v>7.6458309843075889E-2</v>
      </c>
      <c r="I55" s="52">
        <f t="shared" si="18"/>
        <v>8.0404620373833086E-2</v>
      </c>
      <c r="J55" s="52">
        <f t="shared" si="18"/>
        <v>8.4275354398170951E-2</v>
      </c>
      <c r="K55" s="52">
        <f t="shared" si="18"/>
        <v>8.8044833802593092E-2</v>
      </c>
      <c r="L55" s="52">
        <f t="shared" si="18"/>
        <v>9.1686870786196792E-2</v>
      </c>
      <c r="M55" s="52">
        <f t="shared" si="18"/>
        <v>9.517500295083893E-2</v>
      </c>
      <c r="O55" s="15"/>
    </row>
    <row r="56" spans="2:18">
      <c r="B56" s="51"/>
      <c r="C56" s="44"/>
      <c r="D56" s="52"/>
      <c r="E56" s="19"/>
      <c r="F56" s="52"/>
      <c r="G56" s="52"/>
      <c r="H56" s="52"/>
      <c r="I56" s="52"/>
      <c r="J56" s="52"/>
      <c r="K56" s="52"/>
      <c r="L56" s="52"/>
      <c r="M56" s="52"/>
    </row>
    <row r="57" spans="2:18">
      <c r="B57" s="40" t="s">
        <v>77</v>
      </c>
      <c r="C57" s="44">
        <f>'Financial analysis'!D41</f>
        <v>6.25E-2</v>
      </c>
      <c r="D57" s="21">
        <f>$C$57*D34</f>
        <v>0</v>
      </c>
      <c r="E57" s="21">
        <f>$C$57*E34</f>
        <v>10286.25</v>
      </c>
      <c r="F57" s="21">
        <f>$C$57*F34</f>
        <v>10286.25</v>
      </c>
      <c r="G57" s="21">
        <f>$C$57*G34</f>
        <v>10286.25</v>
      </c>
      <c r="H57" s="21">
        <f t="shared" ref="H57:M57" si="19">$C$57*G34</f>
        <v>10286.25</v>
      </c>
      <c r="I57" s="21">
        <f t="shared" si="19"/>
        <v>10286.25</v>
      </c>
      <c r="J57" s="21">
        <f t="shared" si="19"/>
        <v>10286.25</v>
      </c>
      <c r="K57" s="21">
        <f t="shared" si="19"/>
        <v>10286.25</v>
      </c>
      <c r="L57" s="21">
        <f t="shared" si="19"/>
        <v>10286.25</v>
      </c>
      <c r="M57" s="21">
        <f t="shared" si="19"/>
        <v>10286.25</v>
      </c>
    </row>
    <row r="58" spans="2:18">
      <c r="B58" s="18" t="s">
        <v>78</v>
      </c>
      <c r="C58" s="44">
        <f>'Financial analysis'!J44</f>
        <v>1.2500000000000001E-2</v>
      </c>
      <c r="D58" s="21">
        <f>$C$58*$D$9</f>
        <v>2990</v>
      </c>
      <c r="E58" s="21">
        <f t="shared" ref="E58:M58" si="20">$C$58*$D$9</f>
        <v>2990</v>
      </c>
      <c r="F58" s="21">
        <f t="shared" si="20"/>
        <v>2990</v>
      </c>
      <c r="G58" s="21">
        <f t="shared" si="20"/>
        <v>2990</v>
      </c>
      <c r="H58" s="21">
        <f t="shared" si="20"/>
        <v>2990</v>
      </c>
      <c r="I58" s="21">
        <f t="shared" si="20"/>
        <v>2990</v>
      </c>
      <c r="J58" s="21">
        <f t="shared" si="20"/>
        <v>2990</v>
      </c>
      <c r="K58" s="21">
        <f t="shared" si="20"/>
        <v>2990</v>
      </c>
      <c r="L58" s="21">
        <f t="shared" si="20"/>
        <v>2990</v>
      </c>
      <c r="M58" s="21">
        <f t="shared" si="20"/>
        <v>2990</v>
      </c>
    </row>
    <row r="59" spans="2:18">
      <c r="B59" s="18" t="s">
        <v>79</v>
      </c>
      <c r="C59" s="44">
        <v>1E-3</v>
      </c>
      <c r="D59" s="37">
        <f>$C$59*$D$9</f>
        <v>239.20000000000002</v>
      </c>
      <c r="E59" s="37">
        <f t="shared" ref="E59:M59" si="21">D59*(1+D22)</f>
        <v>245.18</v>
      </c>
      <c r="F59" s="37">
        <f t="shared" si="21"/>
        <v>251.30949999999999</v>
      </c>
      <c r="G59" s="37">
        <f t="shared" si="21"/>
        <v>257.59223749999995</v>
      </c>
      <c r="H59" s="37">
        <f t="shared" si="21"/>
        <v>264.03204343749991</v>
      </c>
      <c r="I59" s="37">
        <f t="shared" si="21"/>
        <v>270.63284452343737</v>
      </c>
      <c r="J59" s="37">
        <f t="shared" si="21"/>
        <v>277.39866563652328</v>
      </c>
      <c r="K59" s="37">
        <f t="shared" si="21"/>
        <v>284.33363227743632</v>
      </c>
      <c r="L59" s="37">
        <f t="shared" si="21"/>
        <v>291.44197308437219</v>
      </c>
      <c r="M59" s="37">
        <f t="shared" si="21"/>
        <v>298.72802241148145</v>
      </c>
    </row>
    <row r="60" spans="2:18">
      <c r="B60" s="18"/>
      <c r="C60" s="22"/>
      <c r="D60" s="37"/>
      <c r="E60" s="37"/>
      <c r="F60" s="37"/>
      <c r="G60" s="37"/>
      <c r="H60" s="37"/>
      <c r="I60" s="37"/>
      <c r="J60" s="37"/>
      <c r="K60" s="37"/>
      <c r="L60" s="37"/>
      <c r="M60" s="37"/>
    </row>
    <row r="61" spans="2:18">
      <c r="B61" s="35" t="s">
        <v>80</v>
      </c>
      <c r="C61" s="36"/>
      <c r="D61" s="64">
        <f>D54-SUM(D57:D59)</f>
        <v>11218.8</v>
      </c>
      <c r="E61" s="64">
        <f t="shared" ref="E61:M61" si="22">E54-SUM(E57:E59)</f>
        <v>1885.5859999999993</v>
      </c>
      <c r="F61" s="64">
        <f t="shared" si="22"/>
        <v>2842.7697900000021</v>
      </c>
      <c r="G61" s="64">
        <f t="shared" si="22"/>
        <v>3798.9181294999998</v>
      </c>
      <c r="H61" s="64">
        <f t="shared" si="22"/>
        <v>4748.5456710262533</v>
      </c>
      <c r="I61" s="64">
        <f t="shared" si="22"/>
        <v>5685.9023488974362</v>
      </c>
      <c r="J61" s="64">
        <f t="shared" si="22"/>
        <v>6605.0161064059685</v>
      </c>
      <c r="K61" s="64">
        <f t="shared" si="22"/>
        <v>7499.7406133028326</v>
      </c>
      <c r="L61" s="64">
        <f t="shared" si="22"/>
        <v>8363.8075189738993</v>
      </c>
      <c r="M61" s="64">
        <f t="shared" si="22"/>
        <v>9190.8826834291885</v>
      </c>
    </row>
    <row r="62" spans="2:18"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</row>
    <row r="64" spans="2:18" s="5" customFormat="1" ht="22.5">
      <c r="B64" s="118" t="s">
        <v>81</v>
      </c>
      <c r="C64" s="118"/>
      <c r="D64" s="118"/>
    </row>
    <row r="66" spans="2:15">
      <c r="B66" s="33" t="s">
        <v>50</v>
      </c>
      <c r="C66" s="33"/>
      <c r="D66" s="33" cm="1">
        <f t="array" ref="D66:M66">_xlfn.SEQUENCE(1,10,2024,1)</f>
        <v>2024</v>
      </c>
      <c r="E66" s="33">
        <v>2025</v>
      </c>
      <c r="F66" s="33">
        <v>2026</v>
      </c>
      <c r="G66" s="33">
        <v>2027</v>
      </c>
      <c r="H66" s="33">
        <v>2028</v>
      </c>
      <c r="I66" s="33">
        <v>2029</v>
      </c>
      <c r="J66" s="33">
        <v>2030</v>
      </c>
      <c r="K66" s="33">
        <v>2031</v>
      </c>
      <c r="L66" s="33">
        <v>2032</v>
      </c>
      <c r="M66" s="33">
        <v>2033</v>
      </c>
    </row>
    <row r="67" spans="2:1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2:15">
      <c r="B68" s="33" t="s">
        <v>82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2:15">
      <c r="B69" s="27" t="s">
        <v>83</v>
      </c>
      <c r="C69" s="33"/>
      <c r="D69" s="38">
        <f>D9</f>
        <v>239200</v>
      </c>
      <c r="E69" s="38">
        <f>D71</f>
        <v>239200</v>
      </c>
      <c r="F69" s="38">
        <f t="shared" ref="F69:M69" si="23">E71</f>
        <v>76265.799999999988</v>
      </c>
      <c r="G69" s="38">
        <f t="shared" si="23"/>
        <v>76265.799999999988</v>
      </c>
      <c r="H69" s="38">
        <f t="shared" si="23"/>
        <v>76265.799999999988</v>
      </c>
      <c r="I69" s="38">
        <f t="shared" si="23"/>
        <v>76265.799999999988</v>
      </c>
      <c r="J69" s="38">
        <f t="shared" si="23"/>
        <v>76265.799999999988</v>
      </c>
      <c r="K69" s="38">
        <f t="shared" si="23"/>
        <v>76265.799999999988</v>
      </c>
      <c r="L69" s="38">
        <f t="shared" si="23"/>
        <v>76265.799999999988</v>
      </c>
      <c r="M69" s="38">
        <f t="shared" si="23"/>
        <v>76265.799999999988</v>
      </c>
    </row>
    <row r="70" spans="2:15">
      <c r="B70" s="27" t="s">
        <v>84</v>
      </c>
      <c r="C70" s="33"/>
      <c r="D70" s="38">
        <f t="shared" ref="D70:J70" si="24">D79+MIN(D69,D85)</f>
        <v>0</v>
      </c>
      <c r="E70" s="38">
        <f t="shared" si="24"/>
        <v>162934.20000000001</v>
      </c>
      <c r="F70" s="38">
        <f t="shared" si="24"/>
        <v>0</v>
      </c>
      <c r="G70" s="38">
        <f t="shared" si="24"/>
        <v>0</v>
      </c>
      <c r="H70" s="38">
        <f t="shared" si="24"/>
        <v>0</v>
      </c>
      <c r="I70" s="38">
        <f t="shared" si="24"/>
        <v>0</v>
      </c>
      <c r="J70" s="38">
        <f t="shared" si="24"/>
        <v>0</v>
      </c>
      <c r="K70" s="38">
        <f>K79+MIN(K69,K85)</f>
        <v>0</v>
      </c>
      <c r="L70" s="38">
        <f t="shared" ref="L70:M70" si="25">L79+MIN(L69,L85)</f>
        <v>0</v>
      </c>
      <c r="M70" s="38">
        <f t="shared" si="25"/>
        <v>76265.799999999988</v>
      </c>
    </row>
    <row r="71" spans="2:15">
      <c r="B71" s="27" t="s">
        <v>85</v>
      </c>
      <c r="C71" s="33"/>
      <c r="D71" s="38">
        <f>D69-D70</f>
        <v>239200</v>
      </c>
      <c r="E71" s="38">
        <f t="shared" ref="E71:M71" si="26">E69-E70</f>
        <v>76265.799999999988</v>
      </c>
      <c r="F71" s="38">
        <f t="shared" si="26"/>
        <v>76265.799999999988</v>
      </c>
      <c r="G71" s="38">
        <f t="shared" si="26"/>
        <v>76265.799999999988</v>
      </c>
      <c r="H71" s="38">
        <f t="shared" si="26"/>
        <v>76265.799999999988</v>
      </c>
      <c r="I71" s="38">
        <f t="shared" si="26"/>
        <v>76265.799999999988</v>
      </c>
      <c r="J71" s="38">
        <f t="shared" si="26"/>
        <v>76265.799999999988</v>
      </c>
      <c r="K71" s="38">
        <f t="shared" si="26"/>
        <v>76265.799999999988</v>
      </c>
      <c r="L71" s="38">
        <f t="shared" si="26"/>
        <v>76265.799999999988</v>
      </c>
      <c r="M71" s="38">
        <f t="shared" si="26"/>
        <v>0</v>
      </c>
    </row>
    <row r="72" spans="2:1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2:15">
      <c r="B73" s="18"/>
      <c r="C73" s="18"/>
      <c r="D73" s="18"/>
      <c r="E73" s="38"/>
      <c r="F73" s="18"/>
      <c r="G73" s="18"/>
      <c r="H73" s="18"/>
      <c r="I73" s="18"/>
      <c r="J73" s="18"/>
      <c r="K73" s="18"/>
      <c r="L73" s="18"/>
      <c r="M73" s="18"/>
    </row>
    <row r="74" spans="2:15">
      <c r="B74" s="33" t="s">
        <v>86</v>
      </c>
      <c r="C74" s="33"/>
      <c r="D74" s="48">
        <f>D61*NOT(D31)</f>
        <v>11218.8</v>
      </c>
      <c r="E74" s="48">
        <f t="shared" ref="E74:M74" si="27">E61*NOT(E31)</f>
        <v>1885.5859999999993</v>
      </c>
      <c r="F74" s="48">
        <f t="shared" si="27"/>
        <v>2842.7697900000021</v>
      </c>
      <c r="G74" s="48">
        <f t="shared" si="27"/>
        <v>3798.9181294999998</v>
      </c>
      <c r="H74" s="48">
        <f t="shared" si="27"/>
        <v>4748.5456710262533</v>
      </c>
      <c r="I74" s="48">
        <f t="shared" si="27"/>
        <v>5685.9023488974362</v>
      </c>
      <c r="J74" s="48">
        <f t="shared" si="27"/>
        <v>6605.0161064059685</v>
      </c>
      <c r="K74" s="48">
        <f t="shared" si="27"/>
        <v>7499.7406133028326</v>
      </c>
      <c r="L74" s="48">
        <f t="shared" si="27"/>
        <v>8363.8075189738993</v>
      </c>
      <c r="M74" s="48">
        <f t="shared" si="27"/>
        <v>9190.8826834291885</v>
      </c>
    </row>
    <row r="75" spans="2:15">
      <c r="B75" s="18"/>
      <c r="C75" s="18"/>
      <c r="D75" s="18"/>
      <c r="E75" s="38"/>
      <c r="F75" s="18"/>
      <c r="G75" s="18"/>
      <c r="H75" s="18"/>
      <c r="I75" s="18"/>
      <c r="J75" s="18"/>
      <c r="K75" s="18"/>
      <c r="L75" s="18"/>
      <c r="M75" s="18"/>
    </row>
    <row r="76" spans="2:15">
      <c r="B76" s="33" t="s">
        <v>87</v>
      </c>
      <c r="C76" s="18"/>
      <c r="D76" s="18"/>
      <c r="E76" s="38"/>
      <c r="F76" s="18"/>
      <c r="G76" s="18"/>
      <c r="H76" s="18"/>
      <c r="I76" s="18"/>
      <c r="J76" s="18"/>
      <c r="K76" s="18"/>
      <c r="L76" s="18"/>
      <c r="M76" s="18"/>
    </row>
    <row r="77" spans="2:15">
      <c r="B77" s="27" t="s">
        <v>88</v>
      </c>
      <c r="C77" s="18"/>
      <c r="D77" s="38">
        <f t="shared" ref="D77:G77" si="28">D29*D34*NOT(D31)</f>
        <v>0</v>
      </c>
      <c r="E77" s="38">
        <f t="shared" si="28"/>
        <v>164580</v>
      </c>
      <c r="F77" s="38">
        <f t="shared" si="28"/>
        <v>0</v>
      </c>
      <c r="G77" s="38">
        <f t="shared" si="28"/>
        <v>0</v>
      </c>
      <c r="H77" s="38">
        <f>H29*H34*NOT(H31)</f>
        <v>0</v>
      </c>
      <c r="I77" s="38">
        <f t="shared" ref="I77:M77" si="29">I29*I34*NOT(I31)</f>
        <v>0</v>
      </c>
      <c r="J77" s="38">
        <f t="shared" si="29"/>
        <v>0</v>
      </c>
      <c r="K77" s="38">
        <f t="shared" si="29"/>
        <v>0</v>
      </c>
      <c r="L77" s="38">
        <f t="shared" si="29"/>
        <v>0</v>
      </c>
      <c r="M77" s="38">
        <f t="shared" si="29"/>
        <v>0</v>
      </c>
      <c r="O77" s="15"/>
    </row>
    <row r="78" spans="2:15">
      <c r="B78" s="27" t="s">
        <v>89</v>
      </c>
      <c r="C78" s="22">
        <v>0.01</v>
      </c>
      <c r="D78" s="37">
        <f>$C$78*D77</f>
        <v>0</v>
      </c>
      <c r="E78" s="37">
        <f t="shared" ref="E78:M78" si="30">$C$78*E77</f>
        <v>1645.8</v>
      </c>
      <c r="F78" s="37">
        <f t="shared" si="30"/>
        <v>0</v>
      </c>
      <c r="G78" s="37">
        <f t="shared" si="30"/>
        <v>0</v>
      </c>
      <c r="H78" s="38">
        <f t="shared" si="30"/>
        <v>0</v>
      </c>
      <c r="I78" s="38">
        <f t="shared" si="30"/>
        <v>0</v>
      </c>
      <c r="J78" s="37">
        <f t="shared" si="30"/>
        <v>0</v>
      </c>
      <c r="K78" s="37">
        <f t="shared" si="30"/>
        <v>0</v>
      </c>
      <c r="L78" s="37">
        <f t="shared" si="30"/>
        <v>0</v>
      </c>
      <c r="M78" s="37">
        <f t="shared" si="30"/>
        <v>0</v>
      </c>
    </row>
    <row r="79" spans="2:15">
      <c r="B79" s="27" t="s">
        <v>90</v>
      </c>
      <c r="C79" s="18"/>
      <c r="D79" s="37">
        <f>D77-D78</f>
        <v>0</v>
      </c>
      <c r="E79" s="37">
        <f t="shared" ref="E79:M79" si="31">E77-E78</f>
        <v>162934.20000000001</v>
      </c>
      <c r="F79" s="37">
        <f t="shared" si="31"/>
        <v>0</v>
      </c>
      <c r="G79" s="37">
        <f t="shared" si="31"/>
        <v>0</v>
      </c>
      <c r="H79" s="38">
        <f t="shared" si="31"/>
        <v>0</v>
      </c>
      <c r="I79" s="38">
        <f t="shared" si="31"/>
        <v>0</v>
      </c>
      <c r="J79" s="37">
        <f t="shared" si="31"/>
        <v>0</v>
      </c>
      <c r="K79" s="37">
        <f t="shared" si="31"/>
        <v>0</v>
      </c>
      <c r="L79" s="37">
        <f t="shared" si="31"/>
        <v>0</v>
      </c>
      <c r="M79" s="37">
        <f t="shared" si="31"/>
        <v>0</v>
      </c>
    </row>
    <row r="80" spans="2:15">
      <c r="B80" s="18"/>
      <c r="C80" s="18"/>
      <c r="D80" s="18"/>
      <c r="E80" s="38"/>
      <c r="F80" s="18"/>
      <c r="G80" s="18"/>
      <c r="H80" s="18"/>
      <c r="I80" s="18"/>
      <c r="J80" s="18"/>
      <c r="K80" s="18"/>
      <c r="L80" s="18"/>
      <c r="M80" s="18"/>
    </row>
    <row r="81" spans="2:13">
      <c r="B81" s="33" t="s">
        <v>91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2:13">
      <c r="B82" s="27" t="s">
        <v>92</v>
      </c>
      <c r="C82" s="18"/>
      <c r="D82" s="38">
        <f t="shared" ref="D82:M82" si="32">D33*D30</f>
        <v>0</v>
      </c>
      <c r="E82" s="38">
        <f t="shared" si="32"/>
        <v>0</v>
      </c>
      <c r="F82" s="38">
        <f t="shared" si="32"/>
        <v>0</v>
      </c>
      <c r="G82" s="38">
        <f t="shared" si="32"/>
        <v>0</v>
      </c>
      <c r="H82" s="38">
        <f t="shared" si="32"/>
        <v>0</v>
      </c>
      <c r="I82" s="38">
        <f t="shared" si="32"/>
        <v>0</v>
      </c>
      <c r="J82" s="38">
        <f t="shared" si="32"/>
        <v>0</v>
      </c>
      <c r="K82" s="38">
        <f t="shared" si="32"/>
        <v>0</v>
      </c>
      <c r="L82" s="38">
        <f t="shared" si="32"/>
        <v>0</v>
      </c>
      <c r="M82" s="38">
        <f t="shared" si="32"/>
        <v>386318.3979486461</v>
      </c>
    </row>
    <row r="83" spans="2:13">
      <c r="B83" s="27" t="s">
        <v>93</v>
      </c>
      <c r="C83" s="22">
        <v>0.05</v>
      </c>
      <c r="D83" s="37">
        <f>D82*$C$83</f>
        <v>0</v>
      </c>
      <c r="E83" s="37">
        <f t="shared" ref="E83:L83" si="33">E82*$C$83</f>
        <v>0</v>
      </c>
      <c r="F83" s="37">
        <f t="shared" si="33"/>
        <v>0</v>
      </c>
      <c r="G83" s="37">
        <f t="shared" si="33"/>
        <v>0</v>
      </c>
      <c r="H83" s="37">
        <f t="shared" si="33"/>
        <v>0</v>
      </c>
      <c r="I83" s="37">
        <f t="shared" si="33"/>
        <v>0</v>
      </c>
      <c r="J83" s="37">
        <f t="shared" si="33"/>
        <v>0</v>
      </c>
      <c r="K83" s="38">
        <f t="shared" si="33"/>
        <v>0</v>
      </c>
      <c r="L83" s="37">
        <f t="shared" si="33"/>
        <v>0</v>
      </c>
      <c r="M83" s="38">
        <f>M82*$C$83</f>
        <v>19315.919897432304</v>
      </c>
    </row>
    <row r="84" spans="2:13">
      <c r="B84" s="27" t="s">
        <v>94</v>
      </c>
      <c r="C84" s="22"/>
      <c r="D84" s="37">
        <f t="shared" ref="D84:L84" si="34">D34*D30</f>
        <v>0</v>
      </c>
      <c r="E84" s="37">
        <f t="shared" si="34"/>
        <v>0</v>
      </c>
      <c r="F84" s="37">
        <f t="shared" si="34"/>
        <v>0</v>
      </c>
      <c r="G84" s="37">
        <f t="shared" si="34"/>
        <v>0</v>
      </c>
      <c r="H84" s="37">
        <f t="shared" si="34"/>
        <v>0</v>
      </c>
      <c r="I84" s="37">
        <f t="shared" si="34"/>
        <v>0</v>
      </c>
      <c r="J84" s="37">
        <f t="shared" si="34"/>
        <v>0</v>
      </c>
      <c r="K84" s="38">
        <f t="shared" si="34"/>
        <v>0</v>
      </c>
      <c r="L84" s="37">
        <f t="shared" si="34"/>
        <v>0</v>
      </c>
      <c r="M84" s="38">
        <f>M34*M30</f>
        <v>164580</v>
      </c>
    </row>
    <row r="85" spans="2:13">
      <c r="B85" s="27" t="s">
        <v>95</v>
      </c>
      <c r="C85" s="18"/>
      <c r="D85" s="38">
        <f t="shared" ref="D85:L85" si="35">D82-SUM(D83:D84)</f>
        <v>0</v>
      </c>
      <c r="E85" s="38">
        <f t="shared" si="35"/>
        <v>0</v>
      </c>
      <c r="F85" s="38">
        <f t="shared" si="35"/>
        <v>0</v>
      </c>
      <c r="G85" s="38">
        <f t="shared" si="35"/>
        <v>0</v>
      </c>
      <c r="H85" s="38">
        <f t="shared" si="35"/>
        <v>0</v>
      </c>
      <c r="I85" s="38">
        <f t="shared" si="35"/>
        <v>0</v>
      </c>
      <c r="J85" s="38">
        <f t="shared" si="35"/>
        <v>0</v>
      </c>
      <c r="K85" s="38">
        <f t="shared" si="35"/>
        <v>0</v>
      </c>
      <c r="L85" s="38">
        <f t="shared" si="35"/>
        <v>0</v>
      </c>
      <c r="M85" s="38">
        <f>M82-SUM(M83:M84)</f>
        <v>202422.47805121381</v>
      </c>
    </row>
    <row r="86" spans="2:1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2:13">
      <c r="B87" s="33" t="s">
        <v>96</v>
      </c>
      <c r="C87" s="33"/>
      <c r="D87" s="48">
        <f>D85+D79+D74</f>
        <v>11218.8</v>
      </c>
      <c r="E87" s="48">
        <f t="shared" ref="D87:L87" si="36">E85+E79+E74</f>
        <v>164819.78600000002</v>
      </c>
      <c r="F87" s="48">
        <f t="shared" si="36"/>
        <v>2842.7697900000021</v>
      </c>
      <c r="G87" s="48">
        <f t="shared" si="36"/>
        <v>3798.9181294999998</v>
      </c>
      <c r="H87" s="48">
        <f t="shared" si="36"/>
        <v>4748.5456710262533</v>
      </c>
      <c r="I87" s="48">
        <f t="shared" si="36"/>
        <v>5685.9023488974362</v>
      </c>
      <c r="J87" s="48">
        <f t="shared" si="36"/>
        <v>6605.0161064059685</v>
      </c>
      <c r="K87" s="48">
        <f t="shared" si="36"/>
        <v>7499.7406133028326</v>
      </c>
      <c r="L87" s="48">
        <f t="shared" si="36"/>
        <v>8363.8075189738993</v>
      </c>
      <c r="M87" s="48">
        <f>M85+M79+M74</f>
        <v>211613.36073464301</v>
      </c>
    </row>
    <row r="88" spans="2:1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2:13">
      <c r="B89" s="33" t="s">
        <v>97</v>
      </c>
      <c r="C89" s="33"/>
      <c r="D89" s="48">
        <f>D91</f>
        <v>11218.8</v>
      </c>
      <c r="E89" s="48">
        <f t="shared" ref="E89:M89" si="37">E91</f>
        <v>17485.2</v>
      </c>
      <c r="F89" s="48">
        <f>F91</f>
        <v>2842.7697900000021</v>
      </c>
      <c r="G89" s="48">
        <f t="shared" si="37"/>
        <v>3798.9181294999998</v>
      </c>
      <c r="H89" s="48">
        <f t="shared" si="37"/>
        <v>4748.5456710262533</v>
      </c>
      <c r="I89" s="48">
        <f>I91</f>
        <v>5685.9023488974362</v>
      </c>
      <c r="J89" s="48">
        <f t="shared" si="37"/>
        <v>5803.6040605763055</v>
      </c>
      <c r="K89" s="48">
        <f t="shared" si="37"/>
        <v>4575.9479999999994</v>
      </c>
      <c r="L89" s="48">
        <f t="shared" si="37"/>
        <v>4575.9479999999994</v>
      </c>
      <c r="M89" s="48">
        <f t="shared" si="37"/>
        <v>4575.9479999999994</v>
      </c>
    </row>
    <row r="90" spans="2:13">
      <c r="B90" s="27" t="s">
        <v>98</v>
      </c>
      <c r="C90" s="18"/>
      <c r="D90" s="38">
        <f>PrefRate*D69</f>
        <v>14352</v>
      </c>
      <c r="E90" s="38">
        <f>PrefRate*E69+D92</f>
        <v>17485.2</v>
      </c>
      <c r="F90" s="38">
        <f t="shared" ref="F90:M90" si="38">PrefRate*F69+E92</f>
        <v>4575.9479999999994</v>
      </c>
      <c r="G90" s="38">
        <f t="shared" si="38"/>
        <v>6309.1262099999967</v>
      </c>
      <c r="H90" s="38">
        <f t="shared" si="38"/>
        <v>7086.1560804999963</v>
      </c>
      <c r="I90" s="38">
        <f t="shared" si="38"/>
        <v>6913.5584094737424</v>
      </c>
      <c r="J90" s="38">
        <f t="shared" si="38"/>
        <v>5803.6040605763055</v>
      </c>
      <c r="K90" s="38">
        <f t="shared" si="38"/>
        <v>4575.9479999999994</v>
      </c>
      <c r="L90" s="38">
        <f t="shared" si="38"/>
        <v>4575.9479999999994</v>
      </c>
      <c r="M90" s="38">
        <f t="shared" si="38"/>
        <v>4575.9479999999994</v>
      </c>
    </row>
    <row r="91" spans="2:13">
      <c r="B91" s="27" t="s">
        <v>99</v>
      </c>
      <c r="C91" s="18"/>
      <c r="D91" s="38">
        <f>MIN(D87,D90)</f>
        <v>11218.8</v>
      </c>
      <c r="E91" s="38">
        <f>MIN(E87,E90)</f>
        <v>17485.2</v>
      </c>
      <c r="F91" s="38">
        <f t="shared" ref="E91:M91" si="39">MIN(F87,F90)</f>
        <v>2842.7697900000021</v>
      </c>
      <c r="G91" s="38">
        <f t="shared" si="39"/>
        <v>3798.9181294999998</v>
      </c>
      <c r="H91" s="38">
        <f t="shared" si="39"/>
        <v>4748.5456710262533</v>
      </c>
      <c r="I91" s="38">
        <f t="shared" si="39"/>
        <v>5685.9023488974362</v>
      </c>
      <c r="J91" s="38">
        <f t="shared" si="39"/>
        <v>5803.6040605763055</v>
      </c>
      <c r="K91" s="38">
        <f t="shared" si="39"/>
        <v>4575.9479999999994</v>
      </c>
      <c r="L91" s="38">
        <f t="shared" si="39"/>
        <v>4575.9479999999994</v>
      </c>
      <c r="M91" s="38">
        <f t="shared" si="39"/>
        <v>4575.9479999999994</v>
      </c>
    </row>
    <row r="92" spans="2:13">
      <c r="B92" s="27" t="s">
        <v>100</v>
      </c>
      <c r="C92" s="18"/>
      <c r="D92" s="38">
        <f>D90-D91</f>
        <v>3133.2000000000007</v>
      </c>
      <c r="E92" s="38">
        <f t="shared" ref="E92:M92" si="40">E90-E91</f>
        <v>0</v>
      </c>
      <c r="F92" s="38">
        <f t="shared" si="40"/>
        <v>1733.1782099999973</v>
      </c>
      <c r="G92" s="38">
        <f t="shared" si="40"/>
        <v>2510.2080804999969</v>
      </c>
      <c r="H92" s="38">
        <f t="shared" si="40"/>
        <v>2337.6104094737429</v>
      </c>
      <c r="I92" s="38">
        <f t="shared" si="40"/>
        <v>1227.6560605763061</v>
      </c>
      <c r="J92" s="38">
        <f t="shared" si="40"/>
        <v>0</v>
      </c>
      <c r="K92" s="38">
        <f t="shared" si="40"/>
        <v>0</v>
      </c>
      <c r="L92" s="38">
        <f t="shared" si="40"/>
        <v>0</v>
      </c>
      <c r="M92" s="38">
        <f t="shared" si="40"/>
        <v>0</v>
      </c>
    </row>
    <row r="93" spans="2:13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5" spans="2:13">
      <c r="B95" s="18" t="s">
        <v>101</v>
      </c>
      <c r="C95" s="18"/>
      <c r="D95" s="38">
        <f>D87-D91</f>
        <v>0</v>
      </c>
      <c r="E95" s="38">
        <f>E87-E91</f>
        <v>147334.58600000001</v>
      </c>
      <c r="F95" s="38">
        <f>F87-F91</f>
        <v>0</v>
      </c>
      <c r="G95" s="38">
        <f>G87-G91</f>
        <v>0</v>
      </c>
      <c r="H95" s="38">
        <f>H87-H91</f>
        <v>0</v>
      </c>
      <c r="I95" s="38">
        <f>I87-I91</f>
        <v>0</v>
      </c>
      <c r="J95" s="38">
        <f>J87-J91</f>
        <v>801.41204582966293</v>
      </c>
      <c r="K95" s="38">
        <f>K87-K91</f>
        <v>2923.7926133028332</v>
      </c>
      <c r="L95" s="38">
        <f>L87-L91</f>
        <v>3787.8595189738999</v>
      </c>
      <c r="M95" s="38">
        <f>M87-M91</f>
        <v>207037.412734643</v>
      </c>
    </row>
    <row r="96" spans="2:13">
      <c r="B96" s="18" t="s">
        <v>102</v>
      </c>
      <c r="C96" s="18"/>
      <c r="D96" s="38">
        <f>D98</f>
        <v>0</v>
      </c>
      <c r="E96" s="38">
        <f>E98</f>
        <v>0</v>
      </c>
      <c r="F96" s="38">
        <f t="shared" ref="F96:M96" si="41">F98</f>
        <v>0</v>
      </c>
      <c r="G96" s="38">
        <f t="shared" si="41"/>
        <v>0</v>
      </c>
      <c r="H96" s="38">
        <f>H98</f>
        <v>0</v>
      </c>
      <c r="I96" s="38">
        <f t="shared" si="41"/>
        <v>0</v>
      </c>
      <c r="J96" s="38">
        <f t="shared" si="41"/>
        <v>0</v>
      </c>
      <c r="K96" s="38">
        <f t="shared" si="41"/>
        <v>0</v>
      </c>
      <c r="L96" s="38">
        <f t="shared" si="41"/>
        <v>0</v>
      </c>
      <c r="M96" s="38">
        <f t="shared" si="41"/>
        <v>0</v>
      </c>
    </row>
    <row r="97" spans="2:13">
      <c r="B97" s="27" t="s">
        <v>98</v>
      </c>
      <c r="C97" s="18"/>
      <c r="D97" s="38">
        <f t="shared" ref="D97:M97" si="42">D91*GP_ProfitParticipation/(1-GP_ProfitParticipation)+C99</f>
        <v>0</v>
      </c>
      <c r="E97" s="38">
        <f t="shared" si="42"/>
        <v>0</v>
      </c>
      <c r="F97" s="38">
        <f t="shared" si="42"/>
        <v>0</v>
      </c>
      <c r="G97" s="38">
        <f t="shared" si="42"/>
        <v>0</v>
      </c>
      <c r="H97" s="38">
        <f t="shared" si="42"/>
        <v>0</v>
      </c>
      <c r="I97" s="38">
        <f t="shared" si="42"/>
        <v>0</v>
      </c>
      <c r="J97" s="38">
        <f t="shared" si="42"/>
        <v>0</v>
      </c>
      <c r="K97" s="38">
        <f t="shared" si="42"/>
        <v>0</v>
      </c>
      <c r="L97" s="38">
        <f t="shared" si="42"/>
        <v>0</v>
      </c>
      <c r="M97" s="38">
        <f t="shared" si="42"/>
        <v>0</v>
      </c>
    </row>
    <row r="98" spans="2:13">
      <c r="B98" s="27" t="s">
        <v>99</v>
      </c>
      <c r="C98" s="18"/>
      <c r="D98" s="38">
        <f>MIN(D95,D97)</f>
        <v>0</v>
      </c>
      <c r="E98" s="38">
        <f>MIN(E95,E97)</f>
        <v>0</v>
      </c>
      <c r="F98" s="38">
        <f>MIN(F95,F97)</f>
        <v>0</v>
      </c>
      <c r="G98" s="38">
        <f>MIN(G95,G97)</f>
        <v>0</v>
      </c>
      <c r="H98" s="38">
        <f>MIN(H95,H97)</f>
        <v>0</v>
      </c>
      <c r="I98" s="38">
        <f>MIN(I95,I97)</f>
        <v>0</v>
      </c>
      <c r="J98" s="38">
        <f>MIN(J95,J97)</f>
        <v>0</v>
      </c>
      <c r="K98" s="38">
        <f>MIN(K95,K97)</f>
        <v>0</v>
      </c>
      <c r="L98" s="38">
        <f>MIN(L95,L97)</f>
        <v>0</v>
      </c>
      <c r="M98" s="38">
        <f>MIN(M95,M97)</f>
        <v>0</v>
      </c>
    </row>
    <row r="99" spans="2:13">
      <c r="B99" s="27" t="s">
        <v>100</v>
      </c>
      <c r="C99" s="18"/>
      <c r="D99" s="38">
        <f>D97-D98</f>
        <v>0</v>
      </c>
      <c r="E99" s="38">
        <f t="shared" ref="E99:M99" si="43">E97-E98</f>
        <v>0</v>
      </c>
      <c r="F99" s="38">
        <f t="shared" si="43"/>
        <v>0</v>
      </c>
      <c r="G99" s="38">
        <f t="shared" si="43"/>
        <v>0</v>
      </c>
      <c r="H99" s="38">
        <f t="shared" si="43"/>
        <v>0</v>
      </c>
      <c r="I99" s="38">
        <f t="shared" si="43"/>
        <v>0</v>
      </c>
      <c r="J99" s="38">
        <f t="shared" si="43"/>
        <v>0</v>
      </c>
      <c r="K99" s="38">
        <f t="shared" si="43"/>
        <v>0</v>
      </c>
      <c r="L99" s="38">
        <f t="shared" si="43"/>
        <v>0</v>
      </c>
      <c r="M99" s="38">
        <f t="shared" si="43"/>
        <v>0</v>
      </c>
    </row>
    <row r="100" spans="2:13">
      <c r="B100" s="19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2:13">
      <c r="B101" s="18" t="s">
        <v>103</v>
      </c>
      <c r="C101" s="18"/>
      <c r="D101" s="38">
        <f>D95-D96</f>
        <v>0</v>
      </c>
      <c r="E101" s="38">
        <f>E95-E96</f>
        <v>147334.58600000001</v>
      </c>
      <c r="F101" s="38">
        <f>F95-F96</f>
        <v>0</v>
      </c>
      <c r="G101" s="38">
        <f>G95-G96</f>
        <v>0</v>
      </c>
      <c r="H101" s="38">
        <f>H95-H96</f>
        <v>0</v>
      </c>
      <c r="I101" s="38">
        <f>I95-I96</f>
        <v>0</v>
      </c>
      <c r="J101" s="38">
        <f>J95-J96</f>
        <v>801.41204582966293</v>
      </c>
      <c r="K101" s="38">
        <f>K95-K96</f>
        <v>2923.7926133028332</v>
      </c>
      <c r="L101" s="38">
        <f>L95-L96</f>
        <v>3787.8595189738999</v>
      </c>
      <c r="M101" s="38">
        <f>M95-M96</f>
        <v>207037.412734643</v>
      </c>
    </row>
    <row r="102" spans="2:13">
      <c r="B102" s="27" t="s">
        <v>104</v>
      </c>
      <c r="C102" s="18"/>
      <c r="D102" s="38">
        <f t="shared" ref="D102:G102" si="44">MIN(D70,D101)</f>
        <v>0</v>
      </c>
      <c r="E102" s="38">
        <f t="shared" si="44"/>
        <v>147334.58600000001</v>
      </c>
      <c r="F102" s="38">
        <f t="shared" si="44"/>
        <v>0</v>
      </c>
      <c r="G102" s="38">
        <f t="shared" si="44"/>
        <v>0</v>
      </c>
      <c r="H102" s="38">
        <f>MIN(H70,H101)</f>
        <v>0</v>
      </c>
      <c r="I102" s="38">
        <f t="shared" ref="I102:M102" si="45">MIN(I70,I101)</f>
        <v>0</v>
      </c>
      <c r="J102" s="38">
        <f t="shared" si="45"/>
        <v>0</v>
      </c>
      <c r="K102" s="38">
        <f t="shared" si="45"/>
        <v>0</v>
      </c>
      <c r="L102" s="38">
        <f t="shared" si="45"/>
        <v>0</v>
      </c>
      <c r="M102" s="38">
        <f t="shared" si="45"/>
        <v>76265.799999999988</v>
      </c>
    </row>
    <row r="103" spans="2:13">
      <c r="B103" s="27" t="s">
        <v>105</v>
      </c>
      <c r="C103" s="58">
        <f>1-'Financial analysis'!J45</f>
        <v>1</v>
      </c>
      <c r="D103" s="39">
        <f>$C$103*(D101-D102)</f>
        <v>0</v>
      </c>
      <c r="E103" s="39">
        <f t="shared" ref="E103:M103" si="46">$C$103*(E101-E102)</f>
        <v>0</v>
      </c>
      <c r="F103" s="39">
        <f t="shared" si="46"/>
        <v>0</v>
      </c>
      <c r="G103" s="39">
        <f t="shared" si="46"/>
        <v>0</v>
      </c>
      <c r="H103" s="39">
        <f>$C$103*(H101-H102)</f>
        <v>0</v>
      </c>
      <c r="I103" s="39">
        <f t="shared" si="46"/>
        <v>0</v>
      </c>
      <c r="J103" s="39">
        <f t="shared" si="46"/>
        <v>801.41204582966293</v>
      </c>
      <c r="K103" s="39">
        <f t="shared" si="46"/>
        <v>2923.7926133028332</v>
      </c>
      <c r="L103" s="39">
        <f t="shared" si="46"/>
        <v>3787.8595189738999</v>
      </c>
      <c r="M103" s="39">
        <f t="shared" si="46"/>
        <v>130771.61273464301</v>
      </c>
    </row>
    <row r="104" spans="2:13">
      <c r="B104" s="27" t="s">
        <v>106</v>
      </c>
      <c r="C104" s="32">
        <f>1-C103</f>
        <v>0</v>
      </c>
      <c r="D104" s="38">
        <f>$C$104*(D101-D102)</f>
        <v>0</v>
      </c>
      <c r="E104" s="38">
        <f t="shared" ref="E104:L104" si="47">$C$104*(E101-E102)</f>
        <v>0</v>
      </c>
      <c r="F104" s="38">
        <f t="shared" si="47"/>
        <v>0</v>
      </c>
      <c r="G104" s="38">
        <f>$C$104*(G101-G102)</f>
        <v>0</v>
      </c>
      <c r="H104" s="38">
        <f t="shared" si="47"/>
        <v>0</v>
      </c>
      <c r="I104" s="38">
        <f t="shared" si="47"/>
        <v>0</v>
      </c>
      <c r="J104" s="38">
        <f t="shared" si="47"/>
        <v>0</v>
      </c>
      <c r="K104" s="38">
        <f t="shared" si="47"/>
        <v>0</v>
      </c>
      <c r="L104" s="38">
        <f t="shared" si="47"/>
        <v>0</v>
      </c>
      <c r="M104" s="38">
        <f>$C$104*(M101-M102)</f>
        <v>0</v>
      </c>
    </row>
    <row r="108" spans="2:13">
      <c r="B108" s="2"/>
      <c r="C108" s="11"/>
      <c r="D108" s="6"/>
      <c r="E108" s="6"/>
      <c r="F108" s="6"/>
      <c r="G108" s="6"/>
      <c r="H108" s="6"/>
    </row>
    <row r="109" spans="2:13" s="5" customFormat="1" ht="22.5">
      <c r="B109" s="118" t="s">
        <v>107</v>
      </c>
      <c r="C109" s="118"/>
      <c r="D109" s="118"/>
    </row>
    <row r="111" spans="2:13">
      <c r="B111" t="s">
        <v>22</v>
      </c>
      <c r="D111" s="15">
        <f>D9</f>
        <v>239200</v>
      </c>
    </row>
    <row r="114" spans="2:13">
      <c r="B114" s="33" t="s">
        <v>50</v>
      </c>
      <c r="C114" s="33"/>
      <c r="D114" s="33" cm="1">
        <f t="array" ref="D114:M114">_xlfn.SEQUENCE(1,10,2024,1)</f>
        <v>2024</v>
      </c>
      <c r="E114" s="33">
        <v>2025</v>
      </c>
      <c r="F114" s="33">
        <v>2026</v>
      </c>
      <c r="G114" s="33">
        <v>2027</v>
      </c>
      <c r="H114" s="33">
        <v>2028</v>
      </c>
      <c r="I114" s="33">
        <v>2029</v>
      </c>
      <c r="J114" s="33">
        <v>2030</v>
      </c>
      <c r="K114" s="33">
        <v>2031</v>
      </c>
      <c r="L114" s="33">
        <v>2032</v>
      </c>
      <c r="M114" s="33">
        <v>2033</v>
      </c>
    </row>
    <row r="115" spans="2:13">
      <c r="B115" s="18" t="s">
        <v>108</v>
      </c>
      <c r="C115" s="61"/>
      <c r="D115" s="21">
        <f t="shared" ref="D115:M115" si="48">C71-D69</f>
        <v>-239200</v>
      </c>
      <c r="E115" s="21">
        <f t="shared" si="48"/>
        <v>0</v>
      </c>
      <c r="F115" s="21">
        <f t="shared" si="48"/>
        <v>0</v>
      </c>
      <c r="G115" s="21">
        <f t="shared" si="48"/>
        <v>0</v>
      </c>
      <c r="H115" s="21">
        <f t="shared" si="48"/>
        <v>0</v>
      </c>
      <c r="I115" s="21">
        <f t="shared" si="48"/>
        <v>0</v>
      </c>
      <c r="J115" s="21">
        <f t="shared" si="48"/>
        <v>0</v>
      </c>
      <c r="K115" s="21">
        <f t="shared" si="48"/>
        <v>0</v>
      </c>
      <c r="L115" s="21">
        <f t="shared" si="48"/>
        <v>0</v>
      </c>
      <c r="M115" s="21">
        <f t="shared" si="48"/>
        <v>0</v>
      </c>
    </row>
    <row r="116" spans="2:13">
      <c r="B116" s="19" t="s">
        <v>109</v>
      </c>
      <c r="C116" s="42"/>
      <c r="D116" s="24">
        <f t="shared" ref="D116:M116" si="49">D89+D103</f>
        <v>11218.8</v>
      </c>
      <c r="E116" s="24">
        <f t="shared" si="49"/>
        <v>17485.2</v>
      </c>
      <c r="F116" s="24">
        <f t="shared" si="49"/>
        <v>2842.7697900000021</v>
      </c>
      <c r="G116" s="24">
        <f t="shared" si="49"/>
        <v>3798.9181294999998</v>
      </c>
      <c r="H116" s="24">
        <f t="shared" si="49"/>
        <v>4748.5456710262533</v>
      </c>
      <c r="I116" s="24">
        <f t="shared" si="49"/>
        <v>5685.9023488974362</v>
      </c>
      <c r="J116" s="24">
        <f t="shared" si="49"/>
        <v>6605.0161064059685</v>
      </c>
      <c r="K116" s="24">
        <f t="shared" si="49"/>
        <v>7499.7406133028326</v>
      </c>
      <c r="L116" s="24">
        <f t="shared" si="49"/>
        <v>8363.8075189738993</v>
      </c>
      <c r="M116" s="24">
        <f t="shared" si="49"/>
        <v>135347.56073464302</v>
      </c>
    </row>
    <row r="117" spans="2:13">
      <c r="B117" s="19" t="s">
        <v>110</v>
      </c>
      <c r="C117" s="42"/>
      <c r="D117" s="24">
        <f t="shared" ref="D117:M117" si="50">D70</f>
        <v>0</v>
      </c>
      <c r="E117" s="24">
        <f t="shared" si="50"/>
        <v>162934.20000000001</v>
      </c>
      <c r="F117" s="24">
        <f t="shared" si="50"/>
        <v>0</v>
      </c>
      <c r="G117" s="24">
        <f t="shared" si="50"/>
        <v>0</v>
      </c>
      <c r="H117" s="24">
        <f t="shared" si="50"/>
        <v>0</v>
      </c>
      <c r="I117" s="24">
        <f t="shared" si="50"/>
        <v>0</v>
      </c>
      <c r="J117" s="24">
        <f t="shared" si="50"/>
        <v>0</v>
      </c>
      <c r="K117" s="24">
        <f t="shared" si="50"/>
        <v>0</v>
      </c>
      <c r="L117" s="24">
        <f t="shared" si="50"/>
        <v>0</v>
      </c>
      <c r="M117" s="24">
        <f t="shared" si="50"/>
        <v>76265.799999999988</v>
      </c>
    </row>
    <row r="118" spans="2:13">
      <c r="B118" s="16" t="s">
        <v>111</v>
      </c>
      <c r="C118" s="59"/>
      <c r="D118" s="60">
        <f>SUM(D115:D117)</f>
        <v>-227981.2</v>
      </c>
      <c r="E118" s="60">
        <f t="shared" ref="D118:M118" si="51">SUM(E115:E117)</f>
        <v>180419.40000000002</v>
      </c>
      <c r="F118" s="60">
        <f t="shared" si="51"/>
        <v>2842.7697900000021</v>
      </c>
      <c r="G118" s="60">
        <f t="shared" si="51"/>
        <v>3798.9181294999998</v>
      </c>
      <c r="H118" s="60">
        <f t="shared" si="51"/>
        <v>4748.5456710262533</v>
      </c>
      <c r="I118" s="60">
        <f t="shared" si="51"/>
        <v>5685.9023488974362</v>
      </c>
      <c r="J118" s="60">
        <f t="shared" si="51"/>
        <v>6605.0161064059685</v>
      </c>
      <c r="K118" s="60">
        <f t="shared" si="51"/>
        <v>7499.7406133028326</v>
      </c>
      <c r="L118" s="60">
        <f t="shared" si="51"/>
        <v>8363.8075189738993</v>
      </c>
      <c r="M118" s="60">
        <f t="shared" si="51"/>
        <v>211613.36073464301</v>
      </c>
    </row>
    <row r="119" spans="2:13">
      <c r="B119" s="76" t="s">
        <v>112</v>
      </c>
      <c r="C119" s="77"/>
      <c r="D119" s="78">
        <f>-SUM(D116:D117)/$D$115</f>
        <v>4.6901337792642141E-2</v>
      </c>
      <c r="E119" s="78">
        <f>-SUM(E116:E117)/$D$115</f>
        <v>0.75426170568561879</v>
      </c>
      <c r="F119" s="78">
        <f>-SUM(F116:F117)/$D$115</f>
        <v>1.1884489088628771E-2</v>
      </c>
      <c r="G119" s="78">
        <f>-SUM(G116:G117)/$D$115</f>
        <v>1.588176475543478E-2</v>
      </c>
      <c r="H119" s="78">
        <f>-SUM(H116:H117)/$D$115</f>
        <v>1.9851779561146542E-2</v>
      </c>
      <c r="I119" s="78">
        <f>-SUM(I116:I117)/$D$115</f>
        <v>2.377049476963811E-2</v>
      </c>
      <c r="J119" s="78">
        <f t="shared" ref="D119:M119" si="52">-SUM(J116:J117)/$D$115</f>
        <v>2.7612943588653713E-2</v>
      </c>
      <c r="K119" s="78">
        <f t="shared" si="52"/>
        <v>3.1353430657620536E-2</v>
      </c>
      <c r="L119" s="78">
        <f t="shared" si="52"/>
        <v>3.4965750497382521E-2</v>
      </c>
      <c r="M119" s="78">
        <f t="shared" si="52"/>
        <v>0.88467124052944401</v>
      </c>
    </row>
    <row r="120" spans="2:13">
      <c r="B120" s="76"/>
      <c r="C120" s="77"/>
      <c r="D120" s="78"/>
      <c r="E120" s="78"/>
      <c r="F120" s="78"/>
      <c r="G120" s="78"/>
      <c r="H120" s="78"/>
      <c r="I120" s="78"/>
      <c r="J120" s="78"/>
      <c r="K120" s="78"/>
      <c r="L120" s="78"/>
      <c r="M120" s="78"/>
    </row>
    <row r="121" spans="2:13">
      <c r="B121" s="76"/>
      <c r="C121" s="77"/>
      <c r="D121" s="78"/>
      <c r="E121" s="78"/>
      <c r="F121" s="78"/>
      <c r="G121" s="78"/>
      <c r="H121" s="78"/>
      <c r="I121" s="78"/>
      <c r="J121" s="78"/>
      <c r="K121" s="78"/>
      <c r="L121" s="78"/>
      <c r="M121" s="78"/>
    </row>
    <row r="122" spans="2:13">
      <c r="B122" s="16"/>
      <c r="C122" s="59"/>
      <c r="D122" s="60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2:13" ht="23.25">
      <c r="B123" s="115" t="s">
        <v>113</v>
      </c>
      <c r="C123" s="115"/>
      <c r="D123" s="6"/>
    </row>
    <row r="124" spans="2:13" ht="22.5" customHeight="1">
      <c r="B124" s="47" t="s">
        <v>114</v>
      </c>
      <c r="C124" s="34">
        <f>IRR(D118:M118)</f>
        <v>0.16154375461434367</v>
      </c>
      <c r="D124" s="14"/>
      <c r="E124" s="14"/>
      <c r="F124" s="14"/>
      <c r="G124" s="14"/>
      <c r="H124" s="14"/>
    </row>
    <row r="125" spans="2:13">
      <c r="B125" s="19" t="s">
        <v>115</v>
      </c>
      <c r="C125" s="62">
        <f>SUMIF(D115:M117,"&gt;0")/-SUMIF(D115:M117,"&lt;0")</f>
        <v>1.8511549369262099</v>
      </c>
      <c r="D125" s="9"/>
    </row>
    <row r="126" spans="2:13">
      <c r="C126" s="8"/>
    </row>
    <row r="127" spans="2:13">
      <c r="B127" s="2"/>
      <c r="C127" s="8"/>
      <c r="D127" s="9"/>
      <c r="E127" s="9"/>
      <c r="F127" s="9"/>
      <c r="G127" s="9"/>
      <c r="H127" s="9"/>
    </row>
    <row r="128" spans="2:13">
      <c r="B128" s="2"/>
      <c r="C128" s="8"/>
      <c r="D128" s="9"/>
      <c r="E128" s="9"/>
      <c r="F128" s="9"/>
      <c r="G128" s="9"/>
      <c r="H128" s="9"/>
    </row>
    <row r="129" spans="2:8">
      <c r="B129" s="2"/>
      <c r="C129" s="8"/>
      <c r="D129" s="9"/>
      <c r="E129" s="9"/>
      <c r="F129" s="9"/>
      <c r="G129" s="9"/>
      <c r="H129" s="9"/>
    </row>
    <row r="130" spans="2:8">
      <c r="B130" s="2"/>
      <c r="C130" s="8"/>
      <c r="D130" s="9"/>
      <c r="E130" s="9"/>
      <c r="F130" s="9"/>
      <c r="G130" s="9"/>
      <c r="H130" s="9"/>
    </row>
    <row r="131" spans="2:8">
      <c r="B131" s="12"/>
      <c r="C131" s="13"/>
      <c r="D131" s="14"/>
      <c r="E131" s="14"/>
      <c r="F131" s="14"/>
      <c r="G131" s="14"/>
      <c r="H131" s="14"/>
    </row>
    <row r="132" spans="2:8">
      <c r="B132" s="2"/>
      <c r="C132" s="8"/>
      <c r="D132" s="9"/>
      <c r="E132" s="9"/>
      <c r="F132" s="9"/>
      <c r="G132" s="9"/>
      <c r="H132" s="9"/>
    </row>
    <row r="133" spans="2:8">
      <c r="B133" s="7"/>
      <c r="C133" s="8"/>
      <c r="D133" s="9"/>
      <c r="E133" s="9"/>
      <c r="F133" s="9"/>
      <c r="G133" s="9"/>
      <c r="H133" s="9"/>
    </row>
    <row r="134" spans="2:8">
      <c r="B134" s="2"/>
      <c r="C134" s="1"/>
      <c r="D134" s="9"/>
      <c r="E134" s="9"/>
      <c r="F134" s="9"/>
      <c r="G134" s="9"/>
      <c r="H134" s="9"/>
    </row>
    <row r="135" spans="2:8">
      <c r="B135" s="2"/>
      <c r="C135" s="8"/>
      <c r="D135" s="9"/>
      <c r="E135" s="9"/>
      <c r="F135" s="9"/>
      <c r="G135" s="9"/>
      <c r="H135" s="9"/>
    </row>
    <row r="136" spans="2:8">
      <c r="B136" s="2"/>
      <c r="C136" s="8"/>
      <c r="D136" s="9"/>
      <c r="E136" s="9"/>
      <c r="F136" s="9"/>
      <c r="G136" s="9"/>
      <c r="H136" s="9"/>
    </row>
    <row r="137" spans="2:8">
      <c r="B137" s="2"/>
      <c r="C137" s="8"/>
      <c r="D137" s="9"/>
      <c r="E137" s="9"/>
      <c r="F137" s="9"/>
      <c r="G137" s="9"/>
      <c r="H137" s="9"/>
    </row>
    <row r="138" spans="2:8">
      <c r="B138" s="12"/>
      <c r="C138" s="13"/>
      <c r="D138" s="14"/>
      <c r="E138" s="14"/>
      <c r="F138" s="14"/>
      <c r="G138" s="14"/>
      <c r="H138" s="14"/>
    </row>
    <row r="139" spans="2:8">
      <c r="B139" s="2"/>
      <c r="C139" s="8"/>
      <c r="D139" s="9"/>
      <c r="E139" s="9"/>
      <c r="F139" s="9"/>
      <c r="G139" s="9"/>
      <c r="H139" s="9"/>
    </row>
    <row r="140" spans="2:8">
      <c r="B140" s="2"/>
      <c r="C140" s="1"/>
      <c r="D140" s="9"/>
      <c r="E140" s="9"/>
      <c r="F140" s="9"/>
      <c r="G140" s="9"/>
      <c r="H140" s="9"/>
    </row>
    <row r="141" spans="2:8">
      <c r="C141" s="1"/>
      <c r="D141" s="9"/>
    </row>
    <row r="142" spans="2:8">
      <c r="C142" s="10"/>
      <c r="D142" s="9"/>
    </row>
    <row r="144" spans="2:8">
      <c r="B144" s="2"/>
      <c r="D144" s="15"/>
      <c r="E144" s="15"/>
      <c r="F144" s="15"/>
      <c r="G144" s="15"/>
      <c r="H144" s="15"/>
    </row>
    <row r="145" spans="2:8">
      <c r="B145" s="2"/>
      <c r="D145" s="9"/>
      <c r="E145" s="9"/>
      <c r="F145" s="9"/>
      <c r="G145" s="9"/>
      <c r="H145" s="9"/>
    </row>
    <row r="146" spans="2:8">
      <c r="D146" s="15"/>
      <c r="E146" s="15"/>
      <c r="F146" s="15"/>
      <c r="G146" s="15"/>
      <c r="H146" s="15"/>
    </row>
    <row r="147" spans="2:8">
      <c r="C147" s="8"/>
    </row>
    <row r="150" spans="2:8">
      <c r="D150" s="9"/>
      <c r="E150" s="9"/>
      <c r="F150" s="9"/>
      <c r="G150" s="9"/>
      <c r="H150" s="9"/>
    </row>
    <row r="151" spans="2:8">
      <c r="C151" s="4"/>
    </row>
  </sheetData>
  <mergeCells count="10">
    <mergeCell ref="B64:D64"/>
    <mergeCell ref="B109:D109"/>
    <mergeCell ref="B123:C123"/>
    <mergeCell ref="B6:C6"/>
    <mergeCell ref="B26:C26"/>
    <mergeCell ref="B1:F1"/>
    <mergeCell ref="B2:E2"/>
    <mergeCell ref="B38:D38"/>
    <mergeCell ref="B4:D4"/>
    <mergeCell ref="B13:C13"/>
  </mergeCells>
  <pageMargins left="0.25" right="0.25" top="0.75" bottom="0.75" header="0.3" footer="0.3"/>
  <pageSetup scale="75" fitToHeight="0" orientation="landscape" r:id="rId1"/>
  <rowBreaks count="3" manualBreakCount="3">
    <brk id="37" max="16383" man="1"/>
    <brk id="63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5D8E-0C15-40D7-966C-CA1035FB3CBA}">
  <dimension ref="B3:L42"/>
  <sheetViews>
    <sheetView workbookViewId="0"/>
  </sheetViews>
  <sheetFormatPr defaultRowHeight="15.75"/>
  <cols>
    <col min="1" max="1" width="5.5" customWidth="1"/>
    <col min="3" max="3" width="11.125" bestFit="1" customWidth="1"/>
    <col min="4" max="4" width="23.875" bestFit="1" customWidth="1"/>
    <col min="5" max="5" width="26.5" bestFit="1" customWidth="1"/>
    <col min="6" max="6" width="25.375" bestFit="1" customWidth="1"/>
    <col min="7" max="8" width="24.625" bestFit="1" customWidth="1"/>
  </cols>
  <sheetData>
    <row r="3" spans="2:12" ht="23.25">
      <c r="B3" s="3" t="s">
        <v>116</v>
      </c>
    </row>
    <row r="4" spans="2:12">
      <c r="B4" s="67" t="s">
        <v>117</v>
      </c>
    </row>
    <row r="5" spans="2:12">
      <c r="B5" s="67" t="s">
        <v>118</v>
      </c>
    </row>
    <row r="6" spans="2:12">
      <c r="B6" s="25" t="s">
        <v>119</v>
      </c>
    </row>
    <row r="7" spans="2:12">
      <c r="B7" s="25" t="s">
        <v>120</v>
      </c>
    </row>
    <row r="8" spans="2:12">
      <c r="B8" s="25" t="s">
        <v>121</v>
      </c>
      <c r="J8" t="s">
        <v>122</v>
      </c>
    </row>
    <row r="9" spans="2:12">
      <c r="B9" s="25" t="s">
        <v>123</v>
      </c>
      <c r="J9" s="2" t="s">
        <v>124</v>
      </c>
    </row>
    <row r="10" spans="2:12">
      <c r="J10" s="71" t="s">
        <v>125</v>
      </c>
      <c r="L10" s="10">
        <v>0.02</v>
      </c>
    </row>
    <row r="11" spans="2:12">
      <c r="J11" s="71" t="s">
        <v>126</v>
      </c>
      <c r="L11" s="10">
        <v>2.5000000000000001E-2</v>
      </c>
    </row>
    <row r="12" spans="2:12">
      <c r="J12" s="71" t="s">
        <v>127</v>
      </c>
      <c r="L12" s="10">
        <v>0.01</v>
      </c>
    </row>
    <row r="13" spans="2:12">
      <c r="J13" s="71" t="s">
        <v>128</v>
      </c>
      <c r="L13" s="10">
        <v>0.02</v>
      </c>
    </row>
    <row r="14" spans="2:12">
      <c r="B14" s="25" t="s">
        <v>129</v>
      </c>
      <c r="J14" s="71" t="s">
        <v>130</v>
      </c>
      <c r="L14" s="10">
        <v>0.02</v>
      </c>
    </row>
    <row r="15" spans="2:12">
      <c r="J15" s="71" t="s">
        <v>131</v>
      </c>
      <c r="L15" s="69">
        <v>5.0000000000000001E-3</v>
      </c>
    </row>
    <row r="16" spans="2:12">
      <c r="J16" s="16" t="s">
        <v>132</v>
      </c>
      <c r="L16" s="13">
        <f>SUM(L10:L15)</f>
        <v>0.1</v>
      </c>
    </row>
    <row r="18" spans="2:9">
      <c r="B18" t="s">
        <v>24</v>
      </c>
      <c r="C18" t="s">
        <v>133</v>
      </c>
      <c r="D18" t="s">
        <v>134</v>
      </c>
      <c r="E18" t="s">
        <v>135</v>
      </c>
      <c r="F18" t="s">
        <v>136</v>
      </c>
      <c r="G18" t="s">
        <v>137</v>
      </c>
      <c r="H18" t="s">
        <v>138</v>
      </c>
      <c r="I18" t="s">
        <v>139</v>
      </c>
    </row>
    <row r="19" spans="2:9">
      <c r="B19" cm="1">
        <f t="array" ref="B19:B28">_xlfn.SEQUENCE(10,1,1)</f>
        <v>1</v>
      </c>
      <c r="C19" s="6">
        <v>100000</v>
      </c>
      <c r="G19" s="68">
        <v>0</v>
      </c>
      <c r="H19" s="68">
        <v>0</v>
      </c>
    </row>
    <row r="20" spans="2:9">
      <c r="B20">
        <v>2</v>
      </c>
      <c r="G20" s="68">
        <v>0</v>
      </c>
      <c r="H20" s="68">
        <v>0</v>
      </c>
    </row>
    <row r="21" spans="2:9">
      <c r="B21">
        <v>3</v>
      </c>
      <c r="G21" s="68">
        <v>0</v>
      </c>
      <c r="H21" s="68">
        <v>0</v>
      </c>
    </row>
    <row r="22" spans="2:9">
      <c r="B22">
        <v>4</v>
      </c>
      <c r="G22" s="68">
        <v>0</v>
      </c>
      <c r="H22" s="68">
        <v>0</v>
      </c>
    </row>
    <row r="23" spans="2:9">
      <c r="B23">
        <v>5</v>
      </c>
      <c r="G23" s="68">
        <v>0</v>
      </c>
      <c r="H23" s="68">
        <v>0</v>
      </c>
      <c r="I23" t="s">
        <v>140</v>
      </c>
    </row>
    <row r="24" spans="2:9">
      <c r="B24">
        <v>6</v>
      </c>
      <c r="D24" s="1">
        <v>0.75</v>
      </c>
      <c r="E24" s="1">
        <f>MAX(0,H24-(F23+D24))</f>
        <v>0</v>
      </c>
      <c r="F24" s="1">
        <f>F23+SUM(D24:E24)</f>
        <v>0.75</v>
      </c>
      <c r="G24" s="1">
        <v>0.2</v>
      </c>
      <c r="H24" s="1">
        <f>H23+G24</f>
        <v>0.2</v>
      </c>
      <c r="I24" t="s">
        <v>141</v>
      </c>
    </row>
    <row r="25" spans="2:9">
      <c r="B25">
        <v>7</v>
      </c>
      <c r="D25" s="1">
        <v>0</v>
      </c>
      <c r="E25" s="1">
        <f t="shared" ref="E25:E28" si="0">MAX(0,H25-(F24+D25))</f>
        <v>0</v>
      </c>
      <c r="F25" s="1">
        <f t="shared" ref="F25:F28" si="1">F24+SUM(D25:E25)</f>
        <v>0.75</v>
      </c>
      <c r="G25" s="1">
        <v>0.2</v>
      </c>
      <c r="H25" s="1">
        <f t="shared" ref="H25:H28" si="2">H24+G25</f>
        <v>0.4</v>
      </c>
      <c r="I25" t="s">
        <v>141</v>
      </c>
    </row>
    <row r="26" spans="2:9">
      <c r="B26">
        <v>8</v>
      </c>
      <c r="D26" s="1">
        <v>0</v>
      </c>
      <c r="E26" s="1">
        <f t="shared" si="0"/>
        <v>0</v>
      </c>
      <c r="F26" s="1">
        <f t="shared" si="1"/>
        <v>0.75</v>
      </c>
      <c r="G26" s="1">
        <v>0.2</v>
      </c>
      <c r="H26" s="1">
        <f t="shared" si="2"/>
        <v>0.60000000000000009</v>
      </c>
      <c r="I26" t="s">
        <v>142</v>
      </c>
    </row>
    <row r="27" spans="2:9">
      <c r="B27">
        <v>9</v>
      </c>
      <c r="D27" s="1">
        <v>0</v>
      </c>
      <c r="E27" s="1">
        <f t="shared" si="0"/>
        <v>5.0000000000000044E-2</v>
      </c>
      <c r="F27" s="1">
        <f t="shared" si="1"/>
        <v>0.8</v>
      </c>
      <c r="G27" s="1">
        <v>0.2</v>
      </c>
      <c r="H27" s="1">
        <f t="shared" si="2"/>
        <v>0.8</v>
      </c>
      <c r="I27" t="s">
        <v>141</v>
      </c>
    </row>
    <row r="28" spans="2:9">
      <c r="B28">
        <v>10</v>
      </c>
      <c r="D28" s="1">
        <f t="shared" ref="D28" si="3">D27</f>
        <v>0</v>
      </c>
      <c r="E28" s="1">
        <f t="shared" si="0"/>
        <v>0.19999999999999996</v>
      </c>
      <c r="F28" s="1">
        <f t="shared" si="1"/>
        <v>1</v>
      </c>
      <c r="G28" s="1">
        <v>0.2</v>
      </c>
      <c r="H28" s="1">
        <f t="shared" si="2"/>
        <v>1</v>
      </c>
      <c r="I28" t="s">
        <v>141</v>
      </c>
    </row>
    <row r="32" spans="2:9">
      <c r="B32" t="s">
        <v>143</v>
      </c>
    </row>
    <row r="34" spans="2:6">
      <c r="B34" s="70">
        <v>45261</v>
      </c>
      <c r="D34" t="s">
        <v>144</v>
      </c>
    </row>
    <row r="35" spans="2:6">
      <c r="B35" s="70">
        <v>45291</v>
      </c>
      <c r="D35" t="s">
        <v>145</v>
      </c>
    </row>
    <row r="36" spans="2:6">
      <c r="B36" s="70">
        <v>44957</v>
      </c>
      <c r="D36" t="s">
        <v>146</v>
      </c>
      <c r="F36" t="s">
        <v>147</v>
      </c>
    </row>
    <row r="37" spans="2:6">
      <c r="B37" s="70">
        <v>44958</v>
      </c>
      <c r="D37" t="s">
        <v>148</v>
      </c>
    </row>
    <row r="38" spans="2:6">
      <c r="B38" s="70">
        <v>45016</v>
      </c>
      <c r="D38" t="s">
        <v>149</v>
      </c>
      <c r="F38" t="s">
        <v>150</v>
      </c>
    </row>
    <row r="39" spans="2:6">
      <c r="B39" t="s">
        <v>151</v>
      </c>
      <c r="D39" t="s">
        <v>152</v>
      </c>
      <c r="F39" t="s">
        <v>153</v>
      </c>
    </row>
    <row r="41" spans="2:6">
      <c r="B41" t="s">
        <v>154</v>
      </c>
    </row>
    <row r="42" spans="2:6">
      <c r="B42" t="s">
        <v>155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2527B222C2F34F92FDB3B2F44DEECB" ma:contentTypeVersion="13" ma:contentTypeDescription="Create a new document." ma:contentTypeScope="" ma:versionID="49a1a38a7b131aa40851f9d5fd4b52fc">
  <xsd:schema xmlns:xsd="http://www.w3.org/2001/XMLSchema" xmlns:xs="http://www.w3.org/2001/XMLSchema" xmlns:p="http://schemas.microsoft.com/office/2006/metadata/properties" xmlns:ns2="45d0b676-4f3d-49ba-8fe1-08d96fd643d5" xmlns:ns3="1690056a-890a-4fca-a203-5a850b9bb883" targetNamespace="http://schemas.microsoft.com/office/2006/metadata/properties" ma:root="true" ma:fieldsID="bb5395dc338bb5aee787a5a0e4595676" ns2:_="" ns3:_="">
    <xsd:import namespace="45d0b676-4f3d-49ba-8fe1-08d96fd643d5"/>
    <xsd:import namespace="1690056a-890a-4fca-a203-5a850b9bb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0b676-4f3d-49ba-8fe1-08d96fd64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70cad34-1e5f-42ef-9add-983a4f112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0056a-890a-4fca-a203-5a850b9bb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4a20692-5106-42ab-8bbc-772380996493}" ma:internalName="TaxCatchAll" ma:showField="CatchAllData" ma:web="1690056a-890a-4fca-a203-5a850b9bb8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d0b676-4f3d-49ba-8fe1-08d96fd643d5">
      <Terms xmlns="http://schemas.microsoft.com/office/infopath/2007/PartnerControls"/>
    </lcf76f155ced4ddcb4097134ff3c332f>
    <TaxCatchAll xmlns="1690056a-890a-4fca-a203-5a850b9bb8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E7E3C-04DC-4BFC-AB73-8BB85ABD8F64}"/>
</file>

<file path=customXml/itemProps2.xml><?xml version="1.0" encoding="utf-8"?>
<ds:datastoreItem xmlns:ds="http://schemas.openxmlformats.org/officeDocument/2006/customXml" ds:itemID="{13789926-9628-4822-B846-11CEF9677AE6}"/>
</file>

<file path=customXml/itemProps3.xml><?xml version="1.0" encoding="utf-8"?>
<ds:datastoreItem xmlns:ds="http://schemas.openxmlformats.org/officeDocument/2006/customXml" ds:itemID="{132FAAD3-CC09-4901-A5B1-B54B3FD2E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Patterson</dc:creator>
  <cp:keywords/>
  <dc:description/>
  <cp:lastModifiedBy/>
  <cp:revision/>
  <dcterms:created xsi:type="dcterms:W3CDTF">2023-01-06T20:27:20Z</dcterms:created>
  <dcterms:modified xsi:type="dcterms:W3CDTF">2024-04-26T16:51:20Z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0x010100662527B222C2F34F92FDB3B2F44DEECB</vt:lpwstr>
  </property>
  <property fmtid="{D5CDD505-2E9C-101B-9397-08002B2CF9AE}" pid="3" name="MediaServiceImageTags">
    <vt:lpwstr/>
  </property>
  <property fmtid="{D5CDD505-2E9C-101B-9397-08002B2CF9AE}" pid="4" name="Order">
    <vt:r8>10100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